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1.xml" ContentType="application/vnd.ms-office.chartex+xml"/>
  <Override PartName="/xl/charts/colors10.xml" ContentType="application/vnd.ms-office.chartcolorstyle+xml"/>
  <Override PartName="/xl/charts/style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1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itoresearch.sharepoint.com/sites/2010476-coock-circular-bonding/Shared Documents/General/WP5 Demonstrators/1to1cases/"/>
    </mc:Choice>
  </mc:AlternateContent>
  <xr:revisionPtr revIDLastSave="71" documentId="8_{98585C9A-9C24-481A-8137-A44F883DD12E}" xr6:coauthVersionLast="47" xr6:coauthVersionMax="47" xr10:uidLastSave="{0A0325DA-4334-4C44-B08B-44B7A4ADF9C3}"/>
  <bookViews>
    <workbookView xWindow="22932" yWindow="-108" windowWidth="30936" windowHeight="16896" tabRatio="870" firstSheet="2" activeTab="2" xr2:uid="{9AF51D32-5751-46AB-87AF-D2D36E933782}"/>
  </bookViews>
  <sheets>
    <sheet name="Cover" sheetId="18" r:id="rId1"/>
    <sheet name="Value proposition selector" sheetId="38" r:id="rId2"/>
    <sheet name="Input sheet" sheetId="35" r:id="rId3"/>
    <sheet name="Outputs" sheetId="37" r:id="rId4"/>
    <sheet name="Background data" sheetId="19" r:id="rId5"/>
    <sheet name="Calculations" sheetId="31" r:id="rId6"/>
    <sheet name="PowerBI input 2" sheetId="27" state="hidden" r:id="rId7"/>
    <sheet name="PowerBI input" sheetId="26" state="hidden" r:id="rId8"/>
    <sheet name="Remove before sharing&gt;&gt;" sheetId="36" state="hidden" r:id="rId9"/>
    <sheet name="Logistics" sheetId="34" state="hidden" r:id="rId10"/>
    <sheet name="TECHNOLOGY DATA" sheetId="21" state="hidden" r:id="rId11"/>
    <sheet name="Technologies&gt;&gt;" sheetId="14" state="hidden" r:id="rId12"/>
    <sheet name="Trad. adhesive" sheetId="12" state="hidden" r:id="rId13"/>
    <sheet name="Microwave" sheetId="13" state="hidden" r:id="rId14"/>
    <sheet name="UV" sheetId="11" state="hidden" r:id="rId15"/>
    <sheet name="TEP" sheetId="10" state="hidden" r:id="rId16"/>
    <sheet name="Induction" sheetId="9" state="hidden" r:id="rId17"/>
    <sheet name="Convection" sheetId="8" state="hidden" r:id="rId18"/>
    <sheet name="Electric" sheetId="1" state="hidden" r:id="rId19"/>
    <sheet name="Cleaning" sheetId="32" state="hidden" r:id="rId20"/>
  </sheets>
  <externalReferences>
    <externalReference r:id="rId21"/>
  </externalReferences>
  <definedNames>
    <definedName name="_xlnm._FilterDatabase" localSheetId="6" hidden="1">'PowerBI input 2'!$B$1:$G$69</definedName>
    <definedName name="_xlchart.v5.0" hidden="1">Calculations!$B$41:$B$48</definedName>
    <definedName name="_xlchart.v5.1" hidden="1">Calculations!$C$41:$C$48</definedName>
    <definedName name="Data_type">[1]Lists!$A$20:$A$22</definedName>
    <definedName name="Destination_waste">[1]Lists!$A$30:$A$35</definedName>
    <definedName name="POWER_USER_EXCEL_CHART_276BAC20_3CBB_4EB3_B20F_DD3B4FF5891B">#REF!</definedName>
    <definedName name="POWER_USER_EXCEL_CHART_8064CE3E_F65C_48C8_9599_911CCCFEFFB7">#REF!</definedName>
    <definedName name="Source_of_water">[1]Lists!$A$14:$A$17</definedName>
    <definedName name="Transport_modi">[1]Lists!$A$2:$A$11</definedName>
    <definedName name="Unit_energy">[1]Lists!$A$25:$A$27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31" l="1"/>
  <c r="J11" i="31"/>
  <c r="D14" i="19"/>
  <c r="D18" i="19"/>
  <c r="D11" i="19"/>
  <c r="J17" i="31" l="1"/>
  <c r="C51" i="31" l="1"/>
  <c r="C54" i="31" s="1" a="1"/>
  <c r="C54" i="31" s="1"/>
  <c r="G15" i="31"/>
  <c r="G21" i="31"/>
  <c r="J20" i="31"/>
  <c r="G20" i="31"/>
  <c r="G19" i="31"/>
  <c r="J18" i="31" a="1"/>
  <c r="J18" i="31" s="1"/>
  <c r="G18" i="31"/>
  <c r="G17" i="31"/>
  <c r="D21" i="35" a="1"/>
  <c r="D21" i="35" s="1"/>
  <c r="D17" i="19"/>
  <c r="D16" i="19"/>
  <c r="D13" i="19"/>
  <c r="G16" i="31"/>
  <c r="J14" i="31"/>
  <c r="G14" i="31"/>
  <c r="J13" i="31"/>
  <c r="G13" i="31"/>
  <c r="G11" i="31"/>
  <c r="G12" i="31"/>
  <c r="J25" i="31"/>
  <c r="C42" i="31" s="1"/>
  <c r="J16" i="31" l="1"/>
  <c r="C6" i="35"/>
  <c r="H6" i="35" s="1" a="1"/>
  <c r="H6" i="35" s="1"/>
  <c r="H43" i="35" s="1"/>
  <c r="H23" i="35" l="1"/>
  <c r="H22" i="35"/>
  <c r="H21" i="35"/>
  <c r="H33" i="35"/>
  <c r="H36" i="35"/>
  <c r="H25" i="35"/>
  <c r="H34" i="35"/>
  <c r="H53" i="35"/>
  <c r="H10" i="35"/>
  <c r="H37" i="35"/>
  <c r="H40" i="35"/>
  <c r="H19" i="35"/>
  <c r="H18" i="35"/>
  <c r="H39" i="35"/>
  <c r="H42" i="35"/>
  <c r="H35" i="35"/>
  <c r="H44" i="35"/>
  <c r="H24" i="35"/>
  <c r="H12" i="35"/>
  <c r="H45" i="35"/>
  <c r="H30" i="35"/>
  <c r="H51" i="35"/>
  <c r="H46" i="35"/>
  <c r="H11" i="35"/>
  <c r="H26" i="35"/>
  <c r="H31" i="35"/>
  <c r="H52" i="35"/>
  <c r="H47" i="35"/>
  <c r="G6" i="35" a="1"/>
  <c r="G6" i="35" s="1"/>
  <c r="G43" i="35" s="1"/>
  <c r="F6" i="35" a="1"/>
  <c r="F6" i="35" s="1"/>
  <c r="F43" i="35" l="1"/>
  <c r="F42" i="35"/>
  <c r="F21" i="35"/>
  <c r="F23" i="35"/>
  <c r="F22" i="35"/>
  <c r="G21" i="35"/>
  <c r="G23" i="35"/>
  <c r="G22" i="35"/>
  <c r="F36" i="35"/>
  <c r="G36" i="35"/>
  <c r="F53" i="35"/>
  <c r="F30" i="35"/>
  <c r="F24" i="35"/>
  <c r="F40" i="35"/>
  <c r="F34" i="35"/>
  <c r="F51" i="35"/>
  <c r="F37" i="35"/>
  <c r="F45" i="35"/>
  <c r="F10" i="35"/>
  <c r="F35" i="35"/>
  <c r="F11" i="35"/>
  <c r="F33" i="35"/>
  <c r="F19" i="35"/>
  <c r="F46" i="35"/>
  <c r="F44" i="35"/>
  <c r="F25" i="35"/>
  <c r="F39" i="35"/>
  <c r="F31" i="35"/>
  <c r="F52" i="35"/>
  <c r="F26" i="35"/>
  <c r="F47" i="35"/>
  <c r="F18" i="35"/>
  <c r="F12" i="35"/>
  <c r="G47" i="35"/>
  <c r="G31" i="35"/>
  <c r="G26" i="35"/>
  <c r="G12" i="35"/>
  <c r="G30" i="35"/>
  <c r="G11" i="35"/>
  <c r="G44" i="35"/>
  <c r="G52" i="35"/>
  <c r="G34" i="35"/>
  <c r="G53" i="35"/>
  <c r="G37" i="35"/>
  <c r="G10" i="35"/>
  <c r="G19" i="35"/>
  <c r="G51" i="35"/>
  <c r="G46" i="35"/>
  <c r="G35" i="35"/>
  <c r="G42" i="35"/>
  <c r="G45" i="35"/>
  <c r="G18" i="35"/>
  <c r="G39" i="35"/>
  <c r="G40" i="35"/>
  <c r="G24" i="35"/>
  <c r="G25" i="35"/>
  <c r="G33" i="35"/>
  <c r="C38" i="37"/>
  <c r="J10" i="31"/>
  <c r="J21" i="31"/>
  <c r="J19" i="31"/>
  <c r="G10" i="31"/>
  <c r="I42" i="35" l="1"/>
  <c r="I40" i="35"/>
  <c r="F9" i="31" s="1"/>
  <c r="I24" i="35"/>
  <c r="I37" i="35"/>
  <c r="F15" i="31" s="1"/>
  <c r="J29" i="31" s="1"/>
  <c r="I22" i="35"/>
  <c r="I25" i="35"/>
  <c r="I51" i="35"/>
  <c r="I47" i="35"/>
  <c r="F21" i="31" s="1"/>
  <c r="J35" i="31" s="1"/>
  <c r="C47" i="31" s="1"/>
  <c r="I33" i="35"/>
  <c r="F12" i="31" s="1"/>
  <c r="J26" i="31" s="1"/>
  <c r="I26" i="35"/>
  <c r="I21" i="35"/>
  <c r="I31" i="35"/>
  <c r="I10" i="35"/>
  <c r="I36" i="35"/>
  <c r="F14" i="31" s="1"/>
  <c r="J28" i="31" s="1"/>
  <c r="I35" i="35"/>
  <c r="I11" i="35"/>
  <c r="F10" i="31" s="1"/>
  <c r="J24" i="31" s="1"/>
  <c r="I34" i="35"/>
  <c r="I52" i="35"/>
  <c r="I45" i="35"/>
  <c r="I43" i="35"/>
  <c r="I30" i="35"/>
  <c r="I39" i="35"/>
  <c r="F16" i="31" s="1"/>
  <c r="J30" i="31" s="1"/>
  <c r="C44" i="31" s="1"/>
  <c r="I23" i="35"/>
  <c r="I44" i="35"/>
  <c r="I46" i="35"/>
  <c r="I12" i="35"/>
  <c r="G9" i="31" s="1"/>
  <c r="I18" i="35"/>
  <c r="I19" i="35"/>
  <c r="I53" i="35"/>
  <c r="C57" i="31" a="1"/>
  <c r="C57" i="31" s="1"/>
  <c r="C62" i="31" a="1"/>
  <c r="C62" i="31" s="1"/>
  <c r="C72" i="31" a="1"/>
  <c r="C72" i="31" s="1"/>
  <c r="C71" i="31" a="1"/>
  <c r="C71" i="31" s="1"/>
  <c r="C70" i="31" a="1"/>
  <c r="C70" i="31" s="1"/>
  <c r="C69" i="31" a="1"/>
  <c r="C69" i="31" s="1"/>
  <c r="C65" i="31" a="1"/>
  <c r="C65" i="31" s="1"/>
  <c r="C63" i="31" a="1"/>
  <c r="C63" i="31" s="1"/>
  <c r="C58" i="31" a="1"/>
  <c r="C58" i="31" s="1"/>
  <c r="C56" i="31" a="1"/>
  <c r="C56" i="31" s="1"/>
  <c r="C34" i="37"/>
  <c r="C55" i="31" a="1"/>
  <c r="C55" i="31" s="1"/>
  <c r="C67" i="31" a="1"/>
  <c r="C67" i="31" s="1"/>
  <c r="C60" i="31" a="1"/>
  <c r="C60" i="31" s="1"/>
  <c r="C59" i="31" a="1"/>
  <c r="C59" i="31" s="1"/>
  <c r="C68" i="31" a="1"/>
  <c r="C68" i="31" s="1"/>
  <c r="C61" i="31" a="1"/>
  <c r="C61" i="31" s="1"/>
  <c r="C73" i="31" a="1"/>
  <c r="C73" i="31" s="1"/>
  <c r="C66" i="31" a="1"/>
  <c r="C66" i="31" s="1"/>
  <c r="C64" i="31" a="1"/>
  <c r="C64" i="31" s="1"/>
  <c r="J23" i="31" l="1"/>
  <c r="C41" i="31" s="1"/>
  <c r="F19" i="31"/>
  <c r="J33" i="31" s="1"/>
  <c r="F20" i="31"/>
  <c r="J34" i="31" s="1"/>
  <c r="F18" i="31"/>
  <c r="F17" i="31" a="1"/>
  <c r="F17" i="31" s="1"/>
  <c r="J31" i="31" s="1"/>
  <c r="D54" i="31"/>
  <c r="F13" i="31"/>
  <c r="J27" i="31" s="1"/>
  <c r="C43" i="31" s="1"/>
  <c r="C46" i="31" l="1"/>
  <c r="F38" i="21"/>
  <c r="I20" i="21"/>
  <c r="C25" i="32"/>
  <c r="D25" i="32"/>
  <c r="B25" i="32"/>
  <c r="C24" i="32"/>
  <c r="D24" i="32"/>
  <c r="B24" i="32"/>
  <c r="F39" i="21" l="1"/>
  <c r="F43" i="21" s="1"/>
  <c r="F13" i="21"/>
  <c r="B3" i="26" l="1"/>
  <c r="B4" i="26"/>
  <c r="B5" i="26"/>
  <c r="B6" i="26"/>
  <c r="B7" i="26"/>
  <c r="B8" i="26"/>
  <c r="B9" i="26"/>
  <c r="B2" i="26"/>
  <c r="G5" i="27" l="1"/>
  <c r="F5" i="27"/>
  <c r="D5" i="27" l="1"/>
  <c r="E5" i="27"/>
  <c r="F7" i="27" l="1"/>
  <c r="D7" i="27"/>
  <c r="G7" i="27" l="1"/>
  <c r="E7" i="27"/>
  <c r="L19" i="21"/>
  <c r="L21" i="21" s="1"/>
  <c r="L33" i="21" s="1"/>
  <c r="L37" i="21" s="1"/>
  <c r="H18" i="21"/>
  <c r="E19" i="21"/>
  <c r="E21" i="21" s="1"/>
  <c r="E33" i="21" s="1"/>
  <c r="E37" i="21" s="1"/>
  <c r="J39" i="21"/>
  <c r="K39" i="21" s="1"/>
  <c r="K43" i="21" s="1"/>
  <c r="J38" i="21"/>
  <c r="J13" i="21"/>
  <c r="K13" i="21" s="1"/>
  <c r="K18" i="21" s="1"/>
  <c r="F19" i="21"/>
  <c r="F21" i="21" s="1"/>
  <c r="F33" i="21" s="1"/>
  <c r="F37" i="21" s="1"/>
  <c r="F18" i="21"/>
  <c r="M53" i="21"/>
  <c r="M50" i="21"/>
  <c r="F53" i="21"/>
  <c r="F50" i="21"/>
  <c r="I53" i="21"/>
  <c r="G53" i="21"/>
  <c r="H53" i="21" s="1"/>
  <c r="I50" i="21"/>
  <c r="G39" i="21"/>
  <c r="H39" i="21" s="1"/>
  <c r="G38" i="21"/>
  <c r="H38" i="21" s="1"/>
  <c r="H24" i="21"/>
  <c r="H28" i="21" s="1"/>
  <c r="H20" i="21"/>
  <c r="G19" i="21"/>
  <c r="G21" i="21" s="1"/>
  <c r="G33" i="21" s="1"/>
  <c r="G37" i="21" s="1"/>
  <c r="H7" i="21"/>
  <c r="H12" i="21" s="1"/>
  <c r="I24" i="21"/>
  <c r="I28" i="21" s="1"/>
  <c r="G13" i="21"/>
  <c r="H13" i="21" s="1"/>
  <c r="I39" i="21"/>
  <c r="I43" i="21" s="1"/>
  <c r="I38" i="21"/>
  <c r="I19" i="21"/>
  <c r="I13" i="21"/>
  <c r="I18" i="21" s="1"/>
  <c r="I7" i="21"/>
  <c r="I12" i="21" s="1"/>
  <c r="L39" i="21"/>
  <c r="L43" i="21" s="1"/>
  <c r="L38" i="21"/>
  <c r="L13" i="21"/>
  <c r="L18" i="21" s="1"/>
  <c r="M13" i="21"/>
  <c r="M18" i="21" s="1"/>
  <c r="M39" i="21"/>
  <c r="M43" i="21" s="1"/>
  <c r="M38" i="21"/>
  <c r="C7" i="13"/>
  <c r="J18" i="21" l="1"/>
  <c r="J19" i="21"/>
  <c r="J21" i="21" s="1"/>
  <c r="J33" i="21" s="1"/>
  <c r="J37" i="21" s="1"/>
  <c r="G18" i="21"/>
  <c r="K19" i="21"/>
  <c r="K21" i="21" s="1"/>
  <c r="K33" i="21" s="1"/>
  <c r="K37" i="21" s="1"/>
  <c r="E4" i="27"/>
  <c r="H25" i="21"/>
  <c r="I25" i="21"/>
  <c r="J40" i="21"/>
  <c r="F40" i="21"/>
  <c r="J43" i="21"/>
  <c r="K38" i="21"/>
  <c r="K40" i="21" s="1"/>
  <c r="G50" i="21"/>
  <c r="H19" i="21"/>
  <c r="H21" i="21" s="1"/>
  <c r="G40" i="21"/>
  <c r="G43" i="21"/>
  <c r="H43" i="21" s="1"/>
  <c r="I21" i="21"/>
  <c r="I40" i="21"/>
  <c r="L40" i="21"/>
  <c r="M40" i="21"/>
  <c r="D4" i="27" l="1"/>
  <c r="G4" i="27"/>
  <c r="F4" i="27"/>
  <c r="D2" i="27"/>
  <c r="F2" i="27"/>
  <c r="G2" i="27"/>
  <c r="E2" i="27"/>
  <c r="H50" i="21"/>
  <c r="H40" i="21"/>
  <c r="E9" i="27" l="1"/>
  <c r="F9" i="27"/>
  <c r="G8" i="27"/>
  <c r="D9" i="27"/>
  <c r="D8" i="27"/>
  <c r="G9" i="27"/>
  <c r="E8" i="27"/>
  <c r="F8" i="27"/>
  <c r="C30" i="1"/>
  <c r="C31" i="1" s="1"/>
  <c r="C32" i="1" s="1"/>
  <c r="D24" i="8"/>
  <c r="C24" i="8"/>
  <c r="D31" i="9"/>
  <c r="C31" i="9"/>
  <c r="D32" i="10"/>
  <c r="C32" i="10"/>
  <c r="D20" i="11"/>
  <c r="C20" i="11"/>
  <c r="D20" i="13"/>
  <c r="C20" i="13"/>
  <c r="D9" i="19"/>
  <c r="J32" i="31" l="1"/>
  <c r="C23" i="9"/>
  <c r="C24" i="1"/>
  <c r="C25" i="1" s="1"/>
  <c r="F41" i="21"/>
  <c r="F47" i="21" s="1"/>
  <c r="L41" i="21"/>
  <c r="L47" i="21" s="1"/>
  <c r="D16" i="8"/>
  <c r="C24" i="10"/>
  <c r="D24" i="10"/>
  <c r="C16" i="8"/>
  <c r="C17" i="8" s="1"/>
  <c r="D23" i="9"/>
  <c r="M51" i="21"/>
  <c r="I26" i="21"/>
  <c r="I31" i="21" s="1"/>
  <c r="I33" i="21" s="1"/>
  <c r="I37" i="21" s="1"/>
  <c r="H26" i="21"/>
  <c r="J41" i="21"/>
  <c r="J47" i="21" s="1"/>
  <c r="I51" i="21"/>
  <c r="F51" i="21"/>
  <c r="K41" i="21"/>
  <c r="K47" i="21" s="1"/>
  <c r="M41" i="21"/>
  <c r="M47" i="21" s="1"/>
  <c r="G51" i="21"/>
  <c r="H51" i="21" s="1"/>
  <c r="G41" i="21"/>
  <c r="I41" i="21"/>
  <c r="I47" i="21" s="1"/>
  <c r="C14" i="13"/>
  <c r="C14" i="11"/>
  <c r="D14" i="13"/>
  <c r="D14" i="11"/>
  <c r="J38" i="31" l="1"/>
  <c r="C45" i="31"/>
  <c r="C48" i="31" s="1"/>
  <c r="H31" i="21"/>
  <c r="H33" i="21" s="1"/>
  <c r="H37" i="21" s="1"/>
  <c r="H41" i="21"/>
  <c r="H47" i="21" s="1"/>
  <c r="G47" i="21"/>
  <c r="E54" i="31" l="1"/>
  <c r="E48" i="31"/>
  <c r="M19" i="21"/>
  <c r="M21" i="21" s="1"/>
  <c r="M33" i="21" s="1"/>
  <c r="M37" i="21" s="1"/>
  <c r="H2" i="12"/>
  <c r="B18" i="18"/>
  <c r="C7" i="37" l="1"/>
  <c r="F54" i="31"/>
  <c r="E55" i="31"/>
  <c r="E59" i="31"/>
  <c r="F59" i="31" s="1"/>
  <c r="E71" i="31"/>
  <c r="F71" i="31" s="1"/>
  <c r="E62" i="31"/>
  <c r="F62" i="31" s="1"/>
  <c r="E63" i="31"/>
  <c r="F63" i="31" s="1"/>
  <c r="E70" i="31"/>
  <c r="F70" i="31" s="1"/>
  <c r="E60" i="31"/>
  <c r="F60" i="31" s="1"/>
  <c r="E72" i="31"/>
  <c r="F72" i="31" s="1"/>
  <c r="E65" i="31"/>
  <c r="F65" i="31" s="1"/>
  <c r="E67" i="31"/>
  <c r="F67" i="31" s="1"/>
  <c r="E58" i="31"/>
  <c r="F58" i="31" s="1"/>
  <c r="E61" i="31"/>
  <c r="F61" i="31" s="1"/>
  <c r="E73" i="31"/>
  <c r="F73" i="31" s="1"/>
  <c r="E64" i="31"/>
  <c r="F64" i="31" s="1"/>
  <c r="E66" i="31"/>
  <c r="F66" i="31" s="1"/>
  <c r="E56" i="31"/>
  <c r="F56" i="31" s="1"/>
  <c r="E68" i="31"/>
  <c r="F68" i="31" s="1"/>
  <c r="E57" i="31"/>
  <c r="F57" i="31" s="1"/>
  <c r="E69" i="31"/>
  <c r="F69" i="31" s="1"/>
  <c r="G3" i="27"/>
  <c r="F3" i="27"/>
  <c r="E3" i="27"/>
  <c r="D3" i="27"/>
  <c r="F6" i="27"/>
  <c r="E6" i="27"/>
  <c r="D6" i="27"/>
  <c r="G6" i="27"/>
  <c r="D13" i="11"/>
  <c r="D15" i="11" s="1"/>
  <c r="C13" i="11"/>
  <c r="C15" i="11" s="1"/>
  <c r="D19" i="13"/>
  <c r="D21" i="13" s="1"/>
  <c r="C19" i="13"/>
  <c r="C21" i="13" s="1"/>
  <c r="D15" i="13"/>
  <c r="D13" i="13"/>
  <c r="C13" i="13"/>
  <c r="C15" i="13" s="1"/>
  <c r="H3" i="12"/>
  <c r="C7" i="11"/>
  <c r="D23" i="10"/>
  <c r="D25" i="10" s="1"/>
  <c r="C23" i="10"/>
  <c r="C31" i="10" s="1"/>
  <c r="C33" i="10" s="1"/>
  <c r="D8" i="10"/>
  <c r="C8" i="10"/>
  <c r="D30" i="9"/>
  <c r="C30" i="9"/>
  <c r="D8" i="9"/>
  <c r="C8" i="9"/>
  <c r="D24" i="9"/>
  <c r="D22" i="9"/>
  <c r="D32" i="9" s="1"/>
  <c r="C22" i="9"/>
  <c r="C32" i="9" s="1"/>
  <c r="D25" i="8"/>
  <c r="C25" i="8"/>
  <c r="D23" i="8"/>
  <c r="C23" i="8"/>
  <c r="D15" i="8"/>
  <c r="D17" i="8" s="1"/>
  <c r="C15" i="8"/>
  <c r="G54" i="31" l="1"/>
  <c r="F55" i="31"/>
  <c r="C75" i="31" s="1"/>
  <c r="D5" i="26"/>
  <c r="E5" i="26"/>
  <c r="F5" i="26"/>
  <c r="F3" i="26"/>
  <c r="E3" i="26"/>
  <c r="D3" i="26"/>
  <c r="D26" i="27" a="1"/>
  <c r="D26" i="27" s="1"/>
  <c r="D10" i="27" a="1"/>
  <c r="D10" i="27" s="1"/>
  <c r="D61" i="27" a="1"/>
  <c r="D61" i="27" s="1"/>
  <c r="D34" i="27" a="1"/>
  <c r="D34" i="27" s="1"/>
  <c r="D18" i="27" a="1"/>
  <c r="D18" i="27" s="1"/>
  <c r="D43" i="27" a="1"/>
  <c r="D43" i="27" s="1"/>
  <c r="D52" i="27" a="1"/>
  <c r="D52" i="27" s="1"/>
  <c r="D4" i="26"/>
  <c r="E2" i="26"/>
  <c r="F8" i="26"/>
  <c r="E4" i="26"/>
  <c r="F7" i="26"/>
  <c r="E9" i="26"/>
  <c r="E7" i="26"/>
  <c r="F2" i="26"/>
  <c r="D8" i="26"/>
  <c r="F6" i="26"/>
  <c r="D7" i="26"/>
  <c r="F9" i="26"/>
  <c r="D2" i="26"/>
  <c r="E6" i="26"/>
  <c r="E8" i="26"/>
  <c r="F4" i="26"/>
  <c r="D6" i="26"/>
  <c r="D9" i="26"/>
  <c r="D19" i="11"/>
  <c r="D21" i="11" s="1"/>
  <c r="C19" i="11"/>
  <c r="C21" i="11" s="1"/>
  <c r="D31" i="10"/>
  <c r="D33" i="10" s="1"/>
  <c r="C25" i="10"/>
  <c r="C24" i="9"/>
  <c r="C21" i="1"/>
  <c r="C22" i="1"/>
  <c r="G55" i="31" l="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C36" i="37"/>
  <c r="C45" i="1"/>
  <c r="C46" i="1" s="1"/>
  <c r="C15" i="1"/>
  <c r="C5" i="26" l="1"/>
  <c r="C3" i="26"/>
  <c r="C4" i="26"/>
  <c r="C2" i="26"/>
  <c r="C7" i="26"/>
  <c r="C8" i="26"/>
  <c r="C9" i="26"/>
  <c r="C6" i="26"/>
  <c r="B36" i="1" l="1"/>
  <c r="C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Emma Pals</author>
  </authors>
  <commentList>
    <comment ref="J19" authorId="0" shapeId="0" xr:uid="{732CDF54-0699-4098-8339-39EFE5A23D94}">
      <text>
        <r>
          <rPr>
            <b/>
            <sz val="9"/>
            <color indexed="81"/>
            <rFont val="Tahoma"/>
            <family val="2"/>
          </rPr>
          <t xml:space="preserve">Assumption: </t>
        </r>
        <r>
          <rPr>
            <sz val="9"/>
            <color indexed="81"/>
            <rFont val="Tahoma"/>
            <family val="2"/>
          </rPr>
          <t>for specialized adhesives double the price of regular adhesive</t>
        </r>
      </text>
    </comment>
    <comment ref="K19" authorId="0" shapeId="0" xr:uid="{E94340F4-B965-4D96-9D76-CDB2A788739B}">
      <text>
        <r>
          <rPr>
            <b/>
            <sz val="9"/>
            <color indexed="81"/>
            <rFont val="Tahoma"/>
            <family val="2"/>
          </rPr>
          <t xml:space="preserve">Assumption: </t>
        </r>
        <r>
          <rPr>
            <sz val="9"/>
            <color indexed="81"/>
            <rFont val="Tahoma"/>
            <family val="2"/>
          </rPr>
          <t>for specialized adhesives double the price of regular adhesive</t>
        </r>
      </text>
    </comment>
    <comment ref="L19" authorId="0" shapeId="0" xr:uid="{19FE12A3-9108-427D-BACF-282FC0034C4B}">
      <text>
        <r>
          <rPr>
            <b/>
            <sz val="9"/>
            <color indexed="81"/>
            <rFont val="Tahoma"/>
            <family val="2"/>
          </rPr>
          <t xml:space="preserve">Assumption: </t>
        </r>
        <r>
          <rPr>
            <sz val="9"/>
            <color indexed="81"/>
            <rFont val="Tahoma"/>
            <family val="2"/>
          </rPr>
          <t>for specialized adhesives double the price of regular adhesive</t>
        </r>
      </text>
    </comment>
    <comment ref="H23" authorId="0" shapeId="0" xr:uid="{3899D091-2BF4-4F67-90D2-C05A89DE64DE}">
      <text>
        <r>
          <rPr>
            <b/>
            <sz val="9"/>
            <color indexed="81"/>
            <rFont val="Tahoma"/>
            <family val="2"/>
          </rPr>
          <t xml:space="preserve">Input FLM: </t>
        </r>
        <r>
          <rPr>
            <sz val="9"/>
            <color indexed="81"/>
            <rFont val="Tahoma"/>
            <family val="2"/>
          </rPr>
          <t>spec sheet speed mixer</t>
        </r>
      </text>
    </comment>
    <comment ref="I23" authorId="0" shapeId="0" xr:uid="{323A7F07-8AFD-4E6A-91CC-62BC1C0F295C}">
      <text>
        <r>
          <rPr>
            <b/>
            <sz val="9"/>
            <color indexed="81"/>
            <rFont val="Tahoma"/>
            <family val="2"/>
          </rPr>
          <t xml:space="preserve">Input FLM: </t>
        </r>
        <r>
          <rPr>
            <sz val="9"/>
            <color indexed="81"/>
            <rFont val="Tahoma"/>
            <family val="2"/>
          </rPr>
          <t>spec sheet speed mixer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<sst xmlns="http://schemas.openxmlformats.org/spreadsheetml/2006/main" count="688" uniqueCount="351">
  <si>
    <t xml:space="preserve">CIRCULAR BONDING </t>
  </si>
  <si>
    <t>Value Proposition Calculation Tool</t>
  </si>
  <si>
    <t>Value proposition selector</t>
  </si>
  <si>
    <t>Select Value Proposition:</t>
  </si>
  <si>
    <t>VP2: Improved repair and refurbishing</t>
  </si>
  <si>
    <t>Input sheet</t>
  </si>
  <si>
    <t>Value Proposition selected:</t>
  </si>
  <si>
    <t>Revenues</t>
  </si>
  <si>
    <t>(Residual) Value of component</t>
  </si>
  <si>
    <t>Value of component to be reused/remanufactured/recycled (in €)</t>
  </si>
  <si>
    <t>Value of component that is being reused or remanufactured or the value of the material if recycling efficiency is 100%</t>
  </si>
  <si>
    <t>Avoided time spent on replacement (in hours)</t>
  </si>
  <si>
    <t>Labour time avoided by reusing debonded component vs. replacing the component by a new one</t>
  </si>
  <si>
    <t>Recycling efficiency gain (in %)</t>
  </si>
  <si>
    <t>Share of additional component value that can be recuperated thanks to debonding</t>
  </si>
  <si>
    <t>Costs</t>
  </si>
  <si>
    <t>Capital expenditures</t>
  </si>
  <si>
    <t>Debonding method</t>
  </si>
  <si>
    <t>Debonding method used</t>
  </si>
  <si>
    <t>Convection</t>
  </si>
  <si>
    <t>Automatic or manual</t>
  </si>
  <si>
    <t>Manual</t>
  </si>
  <si>
    <t>Debonding can happen manually (person controls induction equipment) OR  is fully automated (with (mobile) cobot)</t>
  </si>
  <si>
    <t>Investments</t>
  </si>
  <si>
    <t>Default PP&amp;E investments</t>
  </si>
  <si>
    <t>Includes investment for induction or convection equipment and, in case of automation, the cost of a cobot</t>
  </si>
  <si>
    <t>Use default or own PP&amp;E estimate (below)</t>
  </si>
  <si>
    <t>Default</t>
  </si>
  <si>
    <t>PP&amp;E investments for bonding / debonding</t>
  </si>
  <si>
    <t>Investments in debonding production line, cobots for automatization…</t>
  </si>
  <si>
    <t>Switch costs (in €)</t>
  </si>
  <si>
    <t>Costs related to switching to new adhesive (testing, certification, supplier selection…)</t>
  </si>
  <si>
    <t>Investment cost for reverse logistics and/or third party logistics cost</t>
  </si>
  <si>
    <t>Costs related to setting up a takeback system for sold products</t>
  </si>
  <si>
    <t>Depreciation period (in years)</t>
  </si>
  <si>
    <t>Max. is 20 years</t>
  </si>
  <si>
    <t>Operating expenditures</t>
  </si>
  <si>
    <t>Cost of using debondable adhesives</t>
  </si>
  <si>
    <t>Mass of adhesive used in product for bonding of component 
(in g)</t>
  </si>
  <si>
    <t>TEP added (in %)</t>
  </si>
  <si>
    <t>Percentage of thermally expandable particles added to adhesive</t>
  </si>
  <si>
    <t>Transportation cost</t>
  </si>
  <si>
    <t>Cash discount (% of component value)</t>
  </si>
  <si>
    <t>Cash discount as % of component price given to customers to incentivize takeback</t>
  </si>
  <si>
    <t>Weight of the product (in kg)</t>
  </si>
  <si>
    <t>Used to calculate transportation and storage costs</t>
  </si>
  <si>
    <t>Average transportation distance (from customer to debonding site)</t>
  </si>
  <si>
    <t>Include storage cost</t>
  </si>
  <si>
    <t>Fixed cost based on product weight</t>
  </si>
  <si>
    <t>Cost of internal transport (in €)</t>
  </si>
  <si>
    <t>Cost of transporting the component within facility walls, if any</t>
  </si>
  <si>
    <t>Inspection cost</t>
  </si>
  <si>
    <t>Inspection time (in hours)</t>
  </si>
  <si>
    <t>Labour time required to perform inspection of the product</t>
  </si>
  <si>
    <t>Percentage that passess inspection</t>
  </si>
  <si>
    <t>Percentage of inspected products of which component can still be reused</t>
  </si>
  <si>
    <t>Cost of debonding &amp; cleaning</t>
  </si>
  <si>
    <t>Capacity per debonding cycle</t>
  </si>
  <si>
    <t>Number of components that can be debonded in one cycle</t>
  </si>
  <si>
    <t>Time required to debond (in hours)</t>
  </si>
  <si>
    <t>Labour time required to perform debonding per cycle</t>
  </si>
  <si>
    <t>Time required to automatically debond (in hours)</t>
  </si>
  <si>
    <t>Additional cleaning time (in hours)</t>
  </si>
  <si>
    <t>Cleaning time required per component</t>
  </si>
  <si>
    <t>Surface to clean (in m²)</t>
  </si>
  <si>
    <t>Component surface that needs cleaning before reuse</t>
  </si>
  <si>
    <t>Time required to rebond (in hours)</t>
  </si>
  <si>
    <t>Scaling factors</t>
  </si>
  <si>
    <t>Scale up factors</t>
  </si>
  <si>
    <t>Yearly sales volume or production capacity (in # products)</t>
  </si>
  <si>
    <t>Yearly volume of products (that incorporate component) produced or sold per year</t>
  </si>
  <si>
    <t>Percentage of components returned</t>
  </si>
  <si>
    <t>Percentage of products/components that is actually returned by customers</t>
  </si>
  <si>
    <t>Frequency of bonding errors (in %)</t>
  </si>
  <si>
    <t>Frequency at which bonding errors occur</t>
  </si>
  <si>
    <t>Outputs</t>
  </si>
  <si>
    <t>Yearly value of debonding</t>
  </si>
  <si>
    <t>Depreciation Time (in years)</t>
  </si>
  <si>
    <t>Internal Rate of Return</t>
  </si>
  <si>
    <t>Inflation rate</t>
  </si>
  <si>
    <t>BACKGROUND DATA</t>
  </si>
  <si>
    <t>Description</t>
  </si>
  <si>
    <t>UoM</t>
  </si>
  <si>
    <t>Value</t>
  </si>
  <si>
    <t>Comment</t>
  </si>
  <si>
    <t>Source</t>
  </si>
  <si>
    <t>Labour cost</t>
  </si>
  <si>
    <t>€/hr</t>
  </si>
  <si>
    <t>EUROSTAT: 
https://ec.europa.eu/eurostat/databrowser/view/lc_lci_lev/default/table?lang=en
EU27:
2018: 27 €/hr 
2019: 27.7 €/hr
2020: 28.6 €/hr
2021: 29.1 €/hr</t>
  </si>
  <si>
    <t>Electricity cost</t>
  </si>
  <si>
    <t>€/MWh</t>
  </si>
  <si>
    <t>https://ec.europa.eu/eurostat/statistics-explained/images/2/22/Electricity_prices_for_non-household_consumers%2C_second_half_2021_v2.png</t>
  </si>
  <si>
    <t>€/kWh</t>
  </si>
  <si>
    <t>Expancel 043DU80</t>
  </si>
  <si>
    <t>€/kg</t>
  </si>
  <si>
    <t>TEPs</t>
  </si>
  <si>
    <t>Flanders Make</t>
  </si>
  <si>
    <t>Manual induction equipment - cost</t>
  </si>
  <si>
    <t>€</t>
  </si>
  <si>
    <t>Energy manual induction</t>
  </si>
  <si>
    <t>kW</t>
  </si>
  <si>
    <t>Automated induction equipment - cost</t>
  </si>
  <si>
    <t>Incl. mobile cobot</t>
  </si>
  <si>
    <t>Energy automated induction</t>
  </si>
  <si>
    <t>Manual convection equipment - cost</t>
  </si>
  <si>
    <t>Energy manual convection</t>
  </si>
  <si>
    <t>Automated convection equipment - cost</t>
  </si>
  <si>
    <t>Incl. cobot</t>
  </si>
  <si>
    <t>Energy automated convection</t>
  </si>
  <si>
    <t>Transport cost (truck)</t>
  </si>
  <si>
    <t>€/tkm</t>
  </si>
  <si>
    <t>Panteia rapport, cost figures for freight transport (2020)</t>
  </si>
  <si>
    <t>Storage cost</t>
  </si>
  <si>
    <t>€/tonne</t>
  </si>
  <si>
    <t>Budak, Ayşenur. “Sustainable Reverse Logistics Optimization with Triple Bottom Line Approach: An Integration of Disassembly Line Balancing.” Journal of Cleaner Production 270 (October 10, 2020): 122475. https://doi.org/10.1016/j.jclepro.2020.122475.</t>
  </si>
  <si>
    <t>Cleaning cost</t>
  </si>
  <si>
    <t>€/m²</t>
  </si>
  <si>
    <t>https://www.mmsonline.com/articles/electronic-assemblyinline-cleaning-cost-analysis</t>
  </si>
  <si>
    <t>%</t>
  </si>
  <si>
    <t>2021 value for BE</t>
  </si>
  <si>
    <t>https://statbel.fgov.be/en/themes/consumer-prices/consumer-price-index</t>
  </si>
  <si>
    <t>Calculations</t>
  </si>
  <si>
    <t>Parameters</t>
  </si>
  <si>
    <t>DEBONDING</t>
  </si>
  <si>
    <t>Process step</t>
  </si>
  <si>
    <t>Inputs</t>
  </si>
  <si>
    <t>Data type</t>
  </si>
  <si>
    <t>Include?</t>
  </si>
  <si>
    <t>Cost per UoM</t>
  </si>
  <si>
    <t>Transport distance (in km)</t>
  </si>
  <si>
    <t>Transport mode</t>
  </si>
  <si>
    <t>Component value</t>
  </si>
  <si>
    <t>Units</t>
  </si>
  <si>
    <t>units</t>
  </si>
  <si>
    <t>Avoided labour</t>
  </si>
  <si>
    <t>hours</t>
  </si>
  <si>
    <t>Bonding</t>
  </si>
  <si>
    <t>g</t>
  </si>
  <si>
    <t>Transportation</t>
  </si>
  <si>
    <t>Cash discount</t>
  </si>
  <si>
    <t>Reverse logistics</t>
  </si>
  <si>
    <t>Collection &amp; Transport</t>
  </si>
  <si>
    <t>tkm</t>
  </si>
  <si>
    <t>Storage</t>
  </si>
  <si>
    <t>tonnes</t>
  </si>
  <si>
    <t>Internal transport</t>
  </si>
  <si>
    <t>Inspection</t>
  </si>
  <si>
    <t>Labour</t>
  </si>
  <si>
    <t>Debonding</t>
  </si>
  <si>
    <t>Electricity</t>
  </si>
  <si>
    <t>kWh</t>
  </si>
  <si>
    <t>Cleaning</t>
  </si>
  <si>
    <t>Surface</t>
  </si>
  <si>
    <t>m²</t>
  </si>
  <si>
    <t>Rebonding</t>
  </si>
  <si>
    <t>Cost</t>
  </si>
  <si>
    <t>For graph</t>
  </si>
  <si>
    <t>Revenues 
(or avoided cost)</t>
  </si>
  <si>
    <t>TEP cost</t>
  </si>
  <si>
    <t>Collection &amp; 
Transportation</t>
  </si>
  <si>
    <t>Debonding cost</t>
  </si>
  <si>
    <t>Rebonding cost</t>
  </si>
  <si>
    <t>Remaning value</t>
  </si>
  <si>
    <t>check</t>
  </si>
  <si>
    <t>Depreciation time (in years)</t>
  </si>
  <si>
    <t>y</t>
  </si>
  <si>
    <t>CAPEX</t>
  </si>
  <si>
    <t>OPEX</t>
  </si>
  <si>
    <t>CF</t>
  </si>
  <si>
    <t>Cumulative CF</t>
  </si>
  <si>
    <t>IRR</t>
  </si>
  <si>
    <t>Scenario</t>
  </si>
  <si>
    <t>Scenario 0.1: No debonding + recycle (sale)</t>
  </si>
  <si>
    <t>Smartphone production</t>
  </si>
  <si>
    <t>Smartphone sale</t>
  </si>
  <si>
    <t>Smartphone lease</t>
  </si>
  <si>
    <t>Smartphone debonding</t>
  </si>
  <si>
    <t>Recycling (full smartphone)</t>
  </si>
  <si>
    <t>Recycling (smartphone case)</t>
  </si>
  <si>
    <t>Recycling (smartphone battery)</t>
  </si>
  <si>
    <t>Scenario 0.2: No debonding + recycle (lease)</t>
  </si>
  <si>
    <t>Scenario 1.1: RECYCLE</t>
  </si>
  <si>
    <t>Scenario 1.2: RECYCLE + LEASE</t>
  </si>
  <si>
    <t>Scenario 2.1: REMANUFACTURE</t>
  </si>
  <si>
    <t>Battery replacement</t>
  </si>
  <si>
    <t>Scenario 2.2: REMANUFACTURE + LEASE</t>
  </si>
  <si>
    <t>Scenario 3.1: REPAIR</t>
  </si>
  <si>
    <t>Maintenance / repair</t>
  </si>
  <si>
    <t>Scenario 3.2: REPAIR + LEASE</t>
  </si>
  <si>
    <t>SCENARIO ID</t>
  </si>
  <si>
    <t>SCENARIO</t>
  </si>
  <si>
    <t>01</t>
  </si>
  <si>
    <t>02</t>
  </si>
  <si>
    <t>03</t>
  </si>
  <si>
    <t>04</t>
  </si>
  <si>
    <t>05</t>
  </si>
  <si>
    <t>06</t>
  </si>
  <si>
    <t>07</t>
  </si>
  <si>
    <t>Logistics</t>
  </si>
  <si>
    <t>Transport cost</t>
  </si>
  <si>
    <t>Fixed cost</t>
  </si>
  <si>
    <t>Convenience factor</t>
  </si>
  <si>
    <t>Pick-up</t>
  </si>
  <si>
    <t>Pick up from the customers convenient location (residential or business location).</t>
  </si>
  <si>
    <t>Postages Paid Mail</t>
  </si>
  <si>
    <t>Providing the customers with the postage paid envelopes.</t>
  </si>
  <si>
    <t>Collecting at Branches</t>
  </si>
  <si>
    <t>Asking the customers to hand deliver their handsets at particular locations.</t>
  </si>
  <si>
    <t>Percentage of value of product</t>
  </si>
  <si>
    <t>Cash-back /discount</t>
  </si>
  <si>
    <t>Motivation effectiveness</t>
  </si>
  <si>
    <t>Transportation cost per unit</t>
  </si>
  <si>
    <t>dollars/km*ton</t>
  </si>
  <si>
    <t>Inventory cost</t>
  </si>
  <si>
    <t>300 dollars/ton</t>
  </si>
  <si>
    <t>Ni, Zhiqin, Hing Kai Chan, and Zhen Tan. “Systematic Literature Review of Reverse Logistics for E-Waste: Overview, Analysis, and Future Research Agenda.” International Journal of Logistics Research and Applications 26, no. 7 (July 3, 2023): 843–71. https://doi.org/10.1080/13675567.2021.1993159.</t>
  </si>
  <si>
    <t>To download: https://link.springer.com/article/10.1007/s11356-017-0099-7</t>
  </si>
  <si>
    <t>https://www.tandfonline.com/doi/full/10.1080/00207543.2011.590538?needAccess=true</t>
  </si>
  <si>
    <t>https://www.sciencedirect.com/science/article/pii/S0959652619343689</t>
  </si>
  <si>
    <t>He, Pengwei, Haibo Feng, Guangji Hu, Kasun Hewage, Gopal Achari, Chang Wang, and Rehan Sadiq. “Life Cycle Cost Analysis for Recycling High-Tech Minerals from Waste Mobile Phones in China.” Journal of Cleaner Production 251 (April 1, 2020): 119498. https://doi.org/10.1016/j.jclepro.2019.119498.</t>
  </si>
  <si>
    <t>TECHNOLOGY DATA</t>
  </si>
  <si>
    <t>Adhesives</t>
  </si>
  <si>
    <t>NO DEBONDING</t>
  </si>
  <si>
    <t>CONVECTION</t>
  </si>
  <si>
    <t>INDUCTION</t>
  </si>
  <si>
    <t>INDUCTION 
in case of non-magnetic substrates</t>
  </si>
  <si>
    <t>TEP</t>
  </si>
  <si>
    <t>ELECTRIC</t>
  </si>
  <si>
    <t xml:space="preserve">ELECTRIC
in case of insulative materials </t>
  </si>
  <si>
    <t>UV</t>
  </si>
  <si>
    <t>MICROWAVE</t>
  </si>
  <si>
    <t>CAPEX bonding</t>
  </si>
  <si>
    <t>Speed mixer</t>
  </si>
  <si>
    <t>Depreciation period (years)</t>
  </si>
  <si>
    <t>Yearly capacity (#smartphone)</t>
  </si>
  <si>
    <t>Total CAPEX cost (€/smartphone)</t>
  </si>
  <si>
    <t>CAPEX debonding</t>
  </si>
  <si>
    <t>Debonding technology</t>
  </si>
  <si>
    <t>OPEX bonding</t>
  </si>
  <si>
    <t>Adhesive cost (€/g)</t>
  </si>
  <si>
    <t>Additives (€/g adhesive)</t>
  </si>
  <si>
    <t>unknown</t>
  </si>
  <si>
    <t>Total adhesive cost (€/g)</t>
  </si>
  <si>
    <t>Power mixer (kW)</t>
  </si>
  <si>
    <t>Time mixing (h)</t>
  </si>
  <si>
    <t>Power usage (kWh)</t>
  </si>
  <si>
    <t>Cost of power usage (€)</t>
  </si>
  <si>
    <t>Labour cost for mixing (€)</t>
  </si>
  <si>
    <t>Mixer capacity (g)</t>
  </si>
  <si>
    <t>Mixing cost  (€/g)</t>
  </si>
  <si>
    <t>Total adhesive cost incl. mixing (€/g)</t>
  </si>
  <si>
    <t>Adhesive use per smartphone (g/smartphone)</t>
  </si>
  <si>
    <t>Adhesive cost per smartphone (€/smartphone)</t>
  </si>
  <si>
    <t>OPEX debonding</t>
  </si>
  <si>
    <t>Power - vermogen (kW)</t>
  </si>
  <si>
    <t>Time / debonding cycle (h)</t>
  </si>
  <si>
    <t>Labour cost per cycle (€)</t>
  </si>
  <si>
    <t>Capacity for debonding (#smartphones / cycle)</t>
  </si>
  <si>
    <t>Debonding cost (€/smartphone)</t>
  </si>
  <si>
    <t>OPEX cleaning</t>
  </si>
  <si>
    <t>Time / cleaning (h)</t>
  </si>
  <si>
    <t>Labour cost for cleaning (€)</t>
  </si>
  <si>
    <t>€/g</t>
  </si>
  <si>
    <t>Adhesive 1C Epoxy</t>
  </si>
  <si>
    <t>SPE1539</t>
  </si>
  <si>
    <t>Sadechaf</t>
  </si>
  <si>
    <t>3*30g</t>
  </si>
  <si>
    <t>N/A</t>
  </si>
  <si>
    <t>Y</t>
  </si>
  <si>
    <t>Adhesive 2C Epoxy</t>
  </si>
  <si>
    <t>Araldite 2011</t>
  </si>
  <si>
    <t>Huntsman (through VIBA)</t>
  </si>
  <si>
    <t>50ml</t>
  </si>
  <si>
    <t>(density slightly less than water)</t>
  </si>
  <si>
    <t>Source: FLM</t>
  </si>
  <si>
    <t>Microwave oven</t>
  </si>
  <si>
    <t>Purchase price</t>
  </si>
  <si>
    <t>Min prijs</t>
  </si>
  <si>
    <t>https://www.mediamarkt.be/nl/product/_samsung-microgolfoven-ms23k3513ak-en-1554747.html?gclid=CjwKCAiAhreNBhAYEiwAFGGKPHE3nByr0L4_ahciSSoIFe_pifDXB_oiJSJV7B3WxGGQbWjzWtrDtBoCaIgQAvD_BwE&amp;gclsrc=aw.ds</t>
  </si>
  <si>
    <t>Max prijs</t>
  </si>
  <si>
    <t>https://www.unox-webshop.nl/nl/product/89648/unox-speed-x-combi-speed-oven-10x-2-3gn-xepa-0523-exrn?gclid=CjwKCAjw7vuUBhBUEiwAEdu2pAwO-s0BvE7nJXxYA0Kckh5rLpk7YOOVgUTSmCkDRslgETkK-nLr7xoCEzoQAvD_BwE</t>
  </si>
  <si>
    <t>Average</t>
  </si>
  <si>
    <t>min</t>
  </si>
  <si>
    <t>max</t>
  </si>
  <si>
    <t>Required electricity (kWh/h)</t>
  </si>
  <si>
    <t>https://energyusecalculator.com/electricity_microwave.htm</t>
  </si>
  <si>
    <t>Time (minutes)</t>
  </si>
  <si>
    <t>Slides Ahmed (same as convection)</t>
  </si>
  <si>
    <t>Time (hours)</t>
  </si>
  <si>
    <t>TEA</t>
  </si>
  <si>
    <t>Min</t>
  </si>
  <si>
    <t>Max</t>
  </si>
  <si>
    <t>UV curing device</t>
  </si>
  <si>
    <t>https://www.ebay.com/itm/255399143072</t>
  </si>
  <si>
    <t>https://www.leduvcuring.com/led-uv-ultraviolet-irradiation-crosslinking-equipment-for-cable-and-wire_p266.html</t>
  </si>
  <si>
    <t>Pretreatment</t>
  </si>
  <si>
    <t>Mixer (€)</t>
  </si>
  <si>
    <t>FLM Overview.xlsx excel</t>
  </si>
  <si>
    <t>TEP particles (€/kg)</t>
  </si>
  <si>
    <t>Composition (g particles / g adhesive)</t>
  </si>
  <si>
    <t>Slides naast (10-50% of adhesive)</t>
  </si>
  <si>
    <t>Cost per g adhesive</t>
  </si>
  <si>
    <t>Induction coil</t>
  </si>
  <si>
    <t>Input FLM (overview.xlsx - FLM Teams)</t>
  </si>
  <si>
    <t>Convection oven - big</t>
  </si>
  <si>
    <t>Vötsch HeatEvent 100/150</t>
  </si>
  <si>
    <t>Weiss</t>
  </si>
  <si>
    <t>8.7 kWh/h</t>
  </si>
  <si>
    <t>Convection oven - small</t>
  </si>
  <si>
    <t>Weisstechnik</t>
  </si>
  <si>
    <t>6.4 kW/h</t>
  </si>
  <si>
    <t>(see above)</t>
  </si>
  <si>
    <t>Pretreatment (in case of non-magnetic substrates)</t>
  </si>
  <si>
    <t>Curie particles (€/kg)</t>
  </si>
  <si>
    <t>Slides onder (10-50% of adhesive)</t>
  </si>
  <si>
    <t>Induction eqpt</t>
  </si>
  <si>
    <t>TruHeat 5010 &amp; Cooling Unit 5,48kW</t>
  </si>
  <si>
    <t>Trumpf</t>
  </si>
  <si>
    <t>Coils for induction eqpt</t>
  </si>
  <si>
    <t xml:space="preserve">NA </t>
  </si>
  <si>
    <t>Slides Ahmed</t>
  </si>
  <si>
    <t>Global or local heating device</t>
  </si>
  <si>
    <t>R&amp;D &amp; Testing cost</t>
  </si>
  <si>
    <t>Electric DC battery</t>
  </si>
  <si>
    <t>https://www.reichelt.com/be/nl/labornetzgeraet-0-60-v-0-6-a-stabilisiert-2x-usb-peaktech-6227-p270048.html?PROVID=2812&amp;gclid=Cj0KCQjw7MGJBhD-ARIsAMZ0eetgbeTm1CHBs33ZxQ3t0bzB2RQ59mKQCCUrDzyxNWiz7DoTMkoMJQQaAgsXEALw_wcB</t>
  </si>
  <si>
    <t>https://benl.rs-online.com/web/p/bench-power-supplies/7056968</t>
  </si>
  <si>
    <t xml:space="preserve">Assumption: </t>
  </si>
  <si>
    <t>smartphones over lifetime</t>
  </si>
  <si>
    <t>100,000 smartphones at 10 seconds per smartphone results in a lifetime of 1 year</t>
  </si>
  <si>
    <t>Cost / smartphone</t>
  </si>
  <si>
    <t>Volt</t>
  </si>
  <si>
    <t>Flanders MAKE</t>
  </si>
  <si>
    <t>Ampere</t>
  </si>
  <si>
    <t>Seconden</t>
  </si>
  <si>
    <t>Watt</t>
  </si>
  <si>
    <t>V*A</t>
  </si>
  <si>
    <t>Ws</t>
  </si>
  <si>
    <t>W*s</t>
  </si>
  <si>
    <t>€/smartphone</t>
  </si>
  <si>
    <t>€/s</t>
  </si>
  <si>
    <t>Totale debonding cost (€/smartphone)</t>
  </si>
  <si>
    <t>Production</t>
  </si>
  <si>
    <t>Glue (B7000)</t>
  </si>
  <si>
    <t>ml</t>
  </si>
  <si>
    <t>Price / 110 ml</t>
  </si>
  <si>
    <t>Price / ml</t>
  </si>
  <si>
    <t>dollar cost per square foot of electronic board surface</t>
  </si>
  <si>
    <t>$/€</t>
  </si>
  <si>
    <t>Total cost / board in US$/board</t>
  </si>
  <si>
    <t>Total cost / board in €/board</t>
  </si>
  <si>
    <t>Total cost /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</si>
</sst>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0\ _€_-;\-* #,##0.000\ _€_-;_-* &quot;-&quot;??\ _€_-;_-@_-"/>
    <numFmt numFmtId="166" formatCode="0.000"/>
    <numFmt numFmtId="167" formatCode="_ [$€-813]\ * #,##0_ ;_ [$€-813]\ * \-#,##0_ ;_ [$€-813]\ * &quot;-&quot;??_ ;_ @_ "/>
    <numFmt numFmtId="168" formatCode="0.0"/>
    <numFmt numFmtId="169" formatCode="#,##0\ &quot;€&quot;"/>
    <numFmt numFmtId="170" formatCode="_-* #,##0.00\ _€_-;\-* #,##0.00\ _€_-;_-* &quot;-&quot;??\ _€_-;_-@_-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7"/>
      <color rgb="FF44444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ourier New"/>
      <family val="3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9"/>
      <color indexed="81"/>
      <name val="Tahoma"/>
      <family val="2"/>
    </font>
    <font>
      <b/>
      <i/>
      <sz val="11"/>
      <name val="Arial"/>
      <family val="2"/>
    </font>
    <font>
      <b/>
      <sz val="9"/>
      <color indexed="81"/>
      <name val="Tahoma"/>
      <family val="2"/>
    </font>
    <font>
      <b/>
      <sz val="24"/>
      <color theme="1"/>
      <name val="Avenir Next LT Pro"/>
      <family val="2"/>
    </font>
    <font>
      <sz val="18"/>
      <color theme="1"/>
      <name val="Avenir Next LT Pro"/>
      <family val="2"/>
    </font>
    <font>
      <sz val="11"/>
      <color theme="1"/>
      <name val="Avenir Next LT Pro"/>
      <family val="2"/>
    </font>
    <font>
      <b/>
      <sz val="14"/>
      <color theme="0"/>
      <name val="Avenir Next LT Pro"/>
      <family val="2"/>
    </font>
    <font>
      <b/>
      <sz val="18"/>
      <color theme="0"/>
      <name val="Arial"/>
      <family val="2"/>
    </font>
    <font>
      <b/>
      <sz val="11"/>
      <color theme="0"/>
      <name val="Arial"/>
      <family val="2"/>
    </font>
    <font>
      <b/>
      <sz val="16"/>
      <color theme="0"/>
      <name val="Courier New"/>
      <family val="3"/>
    </font>
    <font>
      <b/>
      <sz val="22"/>
      <color theme="0"/>
      <name val="Courier New"/>
      <family val="3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777777"/>
      <name val="Roboto Condensed"/>
    </font>
    <font>
      <sz val="10"/>
      <color rgb="FF202124"/>
      <name val="Arial"/>
      <family val="2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rgb="FF00206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4"/>
      <name val="Calibri"/>
      <family val="2"/>
      <scheme val="minor"/>
    </font>
    <font>
      <b/>
      <sz val="16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4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52453"/>
        <bgColor indexed="64"/>
      </patternFill>
    </fill>
    <fill>
      <patternFill patternType="solid">
        <fgColor rgb="FF00964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406280"/>
        <bgColor indexed="64"/>
      </patternFill>
    </fill>
    <fill>
      <patternFill patternType="solid">
        <fgColor rgb="FF8096AB"/>
        <bgColor indexed="64"/>
      </patternFill>
    </fill>
    <fill>
      <patternFill patternType="solid">
        <fgColor rgb="FFBFCBD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A6A6A6"/>
      </left>
      <right/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/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theme="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6">
    <xf numFmtId="0" fontId="0" fillId="0" borderId="0" xfId="0"/>
    <xf numFmtId="164" fontId="0" fillId="0" borderId="0" xfId="1" applyNumberFormat="1" applyFont="1"/>
    <xf numFmtId="0" fontId="2" fillId="0" borderId="0" xfId="0" applyFont="1"/>
    <xf numFmtId="0" fontId="3" fillId="0" borderId="0" xfId="0" applyFont="1"/>
    <xf numFmtId="0" fontId="4" fillId="0" borderId="0" xfId="0" applyFont="1"/>
    <xf numFmtId="165" fontId="0" fillId="0" borderId="0" xfId="0" applyNumberFormat="1"/>
    <xf numFmtId="2" fontId="0" fillId="0" borderId="0" xfId="0" applyNumberFormat="1"/>
    <xf numFmtId="0" fontId="6" fillId="0" borderId="0" xfId="0" applyFont="1" applyAlignment="1">
      <alignment horizontal="left" vertical="center" readingOrder="1"/>
    </xf>
    <xf numFmtId="0" fontId="7" fillId="0" borderId="2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8" fontId="8" fillId="0" borderId="0" xfId="0" applyNumberFormat="1" applyFont="1" applyAlignment="1">
      <alignment vertical="center" wrapText="1"/>
    </xf>
    <xf numFmtId="0" fontId="9" fillId="0" borderId="0" xfId="0" applyFont="1"/>
    <xf numFmtId="0" fontId="10" fillId="0" borderId="0" xfId="2"/>
    <xf numFmtId="0" fontId="8" fillId="0" borderId="0" xfId="0" applyFont="1" applyAlignment="1">
      <alignment vertical="center"/>
    </xf>
    <xf numFmtId="0" fontId="0" fillId="3" borderId="0" xfId="0" applyFill="1"/>
    <xf numFmtId="0" fontId="5" fillId="3" borderId="0" xfId="0" applyFont="1" applyFill="1"/>
    <xf numFmtId="0" fontId="12" fillId="0" borderId="0" xfId="0" applyFont="1"/>
    <xf numFmtId="0" fontId="13" fillId="0" borderId="0" xfId="0" applyFont="1"/>
    <xf numFmtId="0" fontId="15" fillId="0" borderId="0" xfId="0" applyFont="1"/>
    <xf numFmtId="0" fontId="0" fillId="4" borderId="1" xfId="0" applyFill="1" applyBorder="1"/>
    <xf numFmtId="0" fontId="16" fillId="3" borderId="0" xfId="0" applyFont="1" applyFill="1"/>
    <xf numFmtId="0" fontId="0" fillId="5" borderId="0" xfId="0" applyFill="1"/>
    <xf numFmtId="0" fontId="14" fillId="5" borderId="3" xfId="0" applyFont="1" applyFill="1" applyBorder="1" applyAlignment="1">
      <alignment horizontal="right"/>
    </xf>
    <xf numFmtId="0" fontId="14" fillId="5" borderId="4" xfId="0" applyFont="1" applyFill="1" applyBorder="1" applyAlignment="1">
      <alignment horizontal="right"/>
    </xf>
    <xf numFmtId="44" fontId="18" fillId="6" borderId="5" xfId="3" applyFont="1" applyFill="1" applyBorder="1" applyAlignment="1" applyProtection="1">
      <alignment vertical="top"/>
      <protection locked="0"/>
    </xf>
    <xf numFmtId="44" fontId="18" fillId="6" borderId="6" xfId="3" applyFont="1" applyFill="1" applyBorder="1" applyAlignment="1" applyProtection="1">
      <alignment horizontal="right" vertical="top"/>
      <protection locked="0"/>
    </xf>
    <xf numFmtId="0" fontId="18" fillId="6" borderId="6" xfId="0" applyFont="1" applyFill="1" applyBorder="1" applyAlignment="1" applyProtection="1">
      <alignment horizontal="right" vertical="top"/>
      <protection locked="0"/>
    </xf>
    <xf numFmtId="44" fontId="13" fillId="6" borderId="5" xfId="0" applyNumberFormat="1" applyFont="1" applyFill="1" applyBorder="1" applyAlignment="1" applyProtection="1">
      <alignment vertical="top"/>
      <protection locked="0"/>
    </xf>
    <xf numFmtId="44" fontId="13" fillId="6" borderId="6" xfId="0" applyNumberFormat="1" applyFont="1" applyFill="1" applyBorder="1" applyAlignment="1" applyProtection="1">
      <alignment vertical="top"/>
      <protection locked="0"/>
    </xf>
    <xf numFmtId="0" fontId="14" fillId="5" borderId="5" xfId="0" applyFont="1" applyFill="1" applyBorder="1"/>
    <xf numFmtId="0" fontId="13" fillId="5" borderId="6" xfId="0" applyFont="1" applyFill="1" applyBorder="1"/>
    <xf numFmtId="0" fontId="13" fillId="5" borderId="7" xfId="0" applyFont="1" applyFill="1" applyBorder="1"/>
    <xf numFmtId="0" fontId="14" fillId="5" borderId="6" xfId="0" applyFont="1" applyFill="1" applyBorder="1"/>
    <xf numFmtId="0" fontId="14" fillId="5" borderId="7" xfId="0" applyFont="1" applyFill="1" applyBorder="1"/>
    <xf numFmtId="2" fontId="18" fillId="6" borderId="6" xfId="0" applyNumberFormat="1" applyFont="1" applyFill="1" applyBorder="1" applyAlignment="1" applyProtection="1">
      <alignment horizontal="right" vertical="top"/>
      <protection locked="0"/>
    </xf>
    <xf numFmtId="8" fontId="13" fillId="6" borderId="6" xfId="0" applyNumberFormat="1" applyFont="1" applyFill="1" applyBorder="1" applyAlignment="1" applyProtection="1">
      <alignment vertical="top"/>
      <protection locked="0"/>
    </xf>
    <xf numFmtId="44" fontId="18" fillId="6" borderId="6" xfId="3" applyFont="1" applyFill="1" applyBorder="1" applyAlignment="1" applyProtection="1">
      <alignment vertical="top"/>
      <protection locked="0"/>
    </xf>
    <xf numFmtId="44" fontId="19" fillId="6" borderId="5" xfId="3" applyFont="1" applyFill="1" applyBorder="1" applyAlignment="1" applyProtection="1">
      <alignment horizontal="right" vertical="top"/>
      <protection locked="0"/>
    </xf>
    <xf numFmtId="44" fontId="19" fillId="6" borderId="6" xfId="3" applyFont="1" applyFill="1" applyBorder="1" applyAlignment="1" applyProtection="1">
      <alignment horizontal="right" vertical="top"/>
      <protection locked="0"/>
    </xf>
    <xf numFmtId="44" fontId="17" fillId="6" borderId="6" xfId="3" applyFont="1" applyFill="1" applyBorder="1" applyAlignment="1" applyProtection="1">
      <alignment vertical="top"/>
      <protection locked="0"/>
    </xf>
    <xf numFmtId="44" fontId="21" fillId="6" borderId="6" xfId="3" applyFont="1" applyFill="1" applyBorder="1" applyAlignment="1" applyProtection="1">
      <alignment horizontal="right" vertical="top"/>
      <protection locked="0"/>
    </xf>
    <xf numFmtId="44" fontId="17" fillId="6" borderId="6" xfId="3" applyFont="1" applyFill="1" applyBorder="1" applyAlignment="1" applyProtection="1">
      <alignment horizontal="right" vertical="top"/>
      <protection locked="0"/>
    </xf>
    <xf numFmtId="44" fontId="17" fillId="6" borderId="7" xfId="3" applyFont="1" applyFill="1" applyBorder="1" applyAlignment="1" applyProtection="1">
      <alignment vertical="top"/>
      <protection locked="0"/>
    </xf>
    <xf numFmtId="0" fontId="14" fillId="5" borderId="8" xfId="0" applyFont="1" applyFill="1" applyBorder="1" applyAlignment="1">
      <alignment horizontal="right"/>
    </xf>
    <xf numFmtId="0" fontId="14" fillId="5" borderId="9" xfId="0" applyFont="1" applyFill="1" applyBorder="1" applyAlignment="1">
      <alignment horizontal="right"/>
    </xf>
    <xf numFmtId="2" fontId="18" fillId="2" borderId="6" xfId="0" applyNumberFormat="1" applyFont="1" applyFill="1" applyBorder="1" applyAlignment="1" applyProtection="1">
      <alignment horizontal="right" vertical="top"/>
      <protection locked="0"/>
    </xf>
    <xf numFmtId="2" fontId="18" fillId="2" borderId="5" xfId="0" applyNumberFormat="1" applyFont="1" applyFill="1" applyBorder="1" applyAlignment="1" applyProtection="1">
      <alignment horizontal="right" vertical="top"/>
      <protection locked="0"/>
    </xf>
    <xf numFmtId="0" fontId="13" fillId="5" borderId="0" xfId="0" applyFont="1" applyFill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164" fontId="13" fillId="6" borderId="6" xfId="1" applyNumberFormat="1" applyFont="1" applyFill="1" applyBorder="1" applyAlignment="1" applyProtection="1">
      <alignment vertical="top"/>
      <protection locked="0"/>
    </xf>
    <xf numFmtId="164" fontId="13" fillId="7" borderId="6" xfId="1" applyNumberFormat="1" applyFont="1" applyFill="1" applyBorder="1" applyAlignment="1" applyProtection="1">
      <alignment vertical="top"/>
      <protection locked="0"/>
    </xf>
    <xf numFmtId="44" fontId="14" fillId="7" borderId="6" xfId="3" applyFont="1" applyFill="1" applyBorder="1" applyAlignment="1" applyProtection="1">
      <alignment vertical="top"/>
      <protection locked="0"/>
    </xf>
    <xf numFmtId="164" fontId="18" fillId="6" borderId="6" xfId="1" applyNumberFormat="1" applyFont="1" applyFill="1" applyBorder="1" applyAlignment="1" applyProtection="1">
      <alignment vertical="top"/>
      <protection locked="0"/>
    </xf>
    <xf numFmtId="43" fontId="18" fillId="6" borderId="6" xfId="1" applyFont="1" applyFill="1" applyBorder="1" applyAlignment="1" applyProtection="1">
      <alignment horizontal="right" vertical="top"/>
      <protection locked="0"/>
    </xf>
    <xf numFmtId="0" fontId="14" fillId="5" borderId="7" xfId="0" applyFont="1" applyFill="1" applyBorder="1" applyAlignment="1">
      <alignment horizontal="right"/>
    </xf>
    <xf numFmtId="0" fontId="14" fillId="5" borderId="6" xfId="0" applyFont="1" applyFill="1" applyBorder="1" applyAlignment="1">
      <alignment horizontal="right"/>
    </xf>
    <xf numFmtId="44" fontId="17" fillId="7" borderId="6" xfId="3" applyFont="1" applyFill="1" applyBorder="1" applyAlignment="1" applyProtection="1">
      <alignment vertical="top"/>
      <protection locked="0"/>
    </xf>
    <xf numFmtId="164" fontId="18" fillId="7" borderId="6" xfId="1" applyNumberFormat="1" applyFont="1" applyFill="1" applyBorder="1" applyAlignment="1" applyProtection="1">
      <alignment horizontal="right" vertical="top"/>
      <protection locked="0"/>
    </xf>
    <xf numFmtId="44" fontId="17" fillId="7" borderId="6" xfId="3" applyFont="1" applyFill="1" applyBorder="1" applyAlignment="1" applyProtection="1">
      <alignment horizontal="right" vertical="top"/>
      <protection locked="0"/>
    </xf>
    <xf numFmtId="164" fontId="18" fillId="7" borderId="6" xfId="1" applyNumberFormat="1" applyFont="1" applyFill="1" applyBorder="1" applyAlignment="1" applyProtection="1">
      <alignment vertical="top"/>
      <protection locked="0"/>
    </xf>
    <xf numFmtId="44" fontId="14" fillId="7" borderId="7" xfId="3" applyFont="1" applyFill="1" applyBorder="1" applyAlignment="1" applyProtection="1">
      <alignment vertical="top"/>
      <protection locked="0"/>
    </xf>
    <xf numFmtId="0" fontId="23" fillId="0" borderId="0" xfId="0" applyFont="1"/>
    <xf numFmtId="0" fontId="24" fillId="0" borderId="0" xfId="0" applyFont="1"/>
    <xf numFmtId="0" fontId="25" fillId="0" borderId="0" xfId="0" applyFont="1"/>
    <xf numFmtId="14" fontId="25" fillId="0" borderId="0" xfId="0" applyNumberFormat="1" applyFont="1"/>
    <xf numFmtId="0" fontId="26" fillId="3" borderId="0" xfId="0" applyFont="1" applyFill="1"/>
    <xf numFmtId="43" fontId="18" fillId="6" borderId="5" xfId="1" applyFont="1" applyFill="1" applyBorder="1" applyAlignment="1" applyProtection="1">
      <alignment horizontal="right" vertical="top"/>
      <protection locked="0"/>
    </xf>
    <xf numFmtId="2" fontId="18" fillId="8" borderId="5" xfId="0" applyNumberFormat="1" applyFont="1" applyFill="1" applyBorder="1" applyAlignment="1" applyProtection="1">
      <alignment horizontal="right" vertical="top"/>
      <protection locked="0"/>
    </xf>
    <xf numFmtId="2" fontId="18" fillId="8" borderId="6" xfId="0" applyNumberFormat="1" applyFont="1" applyFill="1" applyBorder="1" applyAlignment="1" applyProtection="1">
      <alignment horizontal="right" vertical="top"/>
      <protection locked="0"/>
    </xf>
    <xf numFmtId="164" fontId="18" fillId="8" borderId="6" xfId="1" applyNumberFormat="1" applyFont="1" applyFill="1" applyBorder="1" applyAlignment="1" applyProtection="1">
      <alignment horizontal="right" vertical="top"/>
      <protection locked="0"/>
    </xf>
    <xf numFmtId="44" fontId="17" fillId="8" borderId="6" xfId="3" applyFont="1" applyFill="1" applyBorder="1" applyAlignment="1" applyProtection="1">
      <alignment horizontal="right" vertical="top"/>
      <protection locked="0"/>
    </xf>
    <xf numFmtId="0" fontId="18" fillId="8" borderId="6" xfId="0" applyFont="1" applyFill="1" applyBorder="1" applyAlignment="1" applyProtection="1">
      <alignment horizontal="right" vertical="top"/>
      <protection locked="0"/>
    </xf>
    <xf numFmtId="44" fontId="17" fillId="8" borderId="7" xfId="3" applyFont="1" applyFill="1" applyBorder="1" applyAlignment="1" applyProtection="1">
      <alignment vertical="top"/>
      <protection locked="0"/>
    </xf>
    <xf numFmtId="164" fontId="18" fillId="8" borderId="5" xfId="1" applyNumberFormat="1" applyFont="1" applyFill="1" applyBorder="1" applyAlignment="1" applyProtection="1">
      <alignment horizontal="right" vertical="top"/>
      <protection locked="0"/>
    </xf>
    <xf numFmtId="43" fontId="18" fillId="8" borderId="6" xfId="1" applyFont="1" applyFill="1" applyBorder="1" applyAlignment="1" applyProtection="1">
      <alignment horizontal="right" vertical="top"/>
      <protection locked="0"/>
    </xf>
    <xf numFmtId="44" fontId="17" fillId="8" borderId="18" xfId="3" applyFont="1" applyFill="1" applyBorder="1" applyAlignment="1" applyProtection="1">
      <alignment vertical="top"/>
      <protection locked="0"/>
    </xf>
    <xf numFmtId="44" fontId="17" fillId="8" borderId="10" xfId="3" applyFont="1" applyFill="1" applyBorder="1" applyAlignment="1" applyProtection="1">
      <alignment vertical="top"/>
      <protection locked="0"/>
    </xf>
    <xf numFmtId="164" fontId="18" fillId="8" borderId="10" xfId="1" applyNumberFormat="1" applyFont="1" applyFill="1" applyBorder="1" applyAlignment="1" applyProtection="1">
      <alignment vertical="top"/>
      <protection locked="0"/>
    </xf>
    <xf numFmtId="44" fontId="17" fillId="8" borderId="6" xfId="3" applyFont="1" applyFill="1" applyBorder="1" applyAlignment="1" applyProtection="1">
      <alignment vertical="top"/>
      <protection locked="0"/>
    </xf>
    <xf numFmtId="44" fontId="13" fillId="8" borderId="5" xfId="0" applyNumberFormat="1" applyFont="1" applyFill="1" applyBorder="1" applyAlignment="1" applyProtection="1">
      <alignment vertical="top"/>
      <protection locked="0"/>
    </xf>
    <xf numFmtId="44" fontId="13" fillId="8" borderId="6" xfId="0" applyNumberFormat="1" applyFont="1" applyFill="1" applyBorder="1" applyAlignment="1" applyProtection="1">
      <alignment vertical="top"/>
      <protection locked="0"/>
    </xf>
    <xf numFmtId="164" fontId="13" fillId="8" borderId="6" xfId="1" applyNumberFormat="1" applyFont="1" applyFill="1" applyBorder="1" applyAlignment="1" applyProtection="1">
      <alignment vertical="top"/>
      <protection locked="0"/>
    </xf>
    <xf numFmtId="44" fontId="14" fillId="8" borderId="7" xfId="3" applyFont="1" applyFill="1" applyBorder="1" applyAlignment="1" applyProtection="1">
      <alignment vertical="top"/>
      <protection locked="0"/>
    </xf>
    <xf numFmtId="8" fontId="13" fillId="8" borderId="6" xfId="0" applyNumberFormat="1" applyFont="1" applyFill="1" applyBorder="1" applyAlignment="1" applyProtection="1">
      <alignment vertical="top"/>
      <protection locked="0"/>
    </xf>
    <xf numFmtId="0" fontId="14" fillId="8" borderId="3" xfId="0" applyFont="1" applyFill="1" applyBorder="1" applyAlignment="1">
      <alignment horizontal="right"/>
    </xf>
    <xf numFmtId="44" fontId="13" fillId="8" borderId="6" xfId="3" applyFont="1" applyFill="1" applyBorder="1" applyAlignment="1" applyProtection="1">
      <alignment vertical="top"/>
      <protection locked="0"/>
    </xf>
    <xf numFmtId="44" fontId="14" fillId="8" borderId="6" xfId="3" applyFont="1" applyFill="1" applyBorder="1" applyAlignment="1" applyProtection="1">
      <alignment vertical="top"/>
      <protection locked="0"/>
    </xf>
    <xf numFmtId="0" fontId="28" fillId="3" borderId="19" xfId="0" applyFont="1" applyFill="1" applyBorder="1" applyAlignment="1">
      <alignment horizontal="center" vertical="center" wrapText="1"/>
    </xf>
    <xf numFmtId="0" fontId="27" fillId="3" borderId="15" xfId="4" applyFont="1" applyFill="1" applyBorder="1" applyAlignment="1">
      <alignment vertical="center"/>
    </xf>
    <xf numFmtId="0" fontId="28" fillId="3" borderId="16" xfId="0" applyFont="1" applyFill="1" applyBorder="1" applyAlignment="1">
      <alignment horizontal="center" vertical="center" wrapText="1"/>
    </xf>
    <xf numFmtId="166" fontId="18" fillId="2" borderId="6" xfId="0" applyNumberFormat="1" applyFont="1" applyFill="1" applyBorder="1" applyAlignment="1" applyProtection="1">
      <alignment horizontal="right" vertical="top"/>
      <protection locked="0"/>
    </xf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0" fillId="4" borderId="20" xfId="0" applyFill="1" applyBorder="1"/>
    <xf numFmtId="0" fontId="0" fillId="4" borderId="21" xfId="0" applyFill="1" applyBorder="1"/>
    <xf numFmtId="0" fontId="0" fillId="9" borderId="0" xfId="0" applyFill="1"/>
    <xf numFmtId="0" fontId="0" fillId="9" borderId="0" xfId="0" applyFill="1" applyAlignment="1">
      <alignment wrapText="1"/>
    </xf>
    <xf numFmtId="0" fontId="29" fillId="9" borderId="0" xfId="0" applyFont="1" applyFill="1"/>
    <xf numFmtId="0" fontId="30" fillId="9" borderId="0" xfId="0" applyFont="1" applyFill="1"/>
    <xf numFmtId="0" fontId="29" fillId="9" borderId="0" xfId="0" applyFont="1" applyFill="1" applyAlignment="1">
      <alignment wrapText="1"/>
    </xf>
    <xf numFmtId="0" fontId="0" fillId="0" borderId="0" xfId="0" applyAlignment="1">
      <alignment wrapText="1"/>
    </xf>
    <xf numFmtId="0" fontId="2" fillId="8" borderId="26" xfId="0" applyFont="1" applyFill="1" applyBorder="1" applyAlignment="1">
      <alignment horizontal="left" vertical="center"/>
    </xf>
    <xf numFmtId="0" fontId="2" fillId="8" borderId="26" xfId="0" applyFont="1" applyFill="1" applyBorder="1" applyAlignment="1">
      <alignment horizontal="left" vertical="center" wrapText="1"/>
    </xf>
    <xf numFmtId="0" fontId="2" fillId="0" borderId="22" xfId="0" applyFont="1" applyBorder="1"/>
    <xf numFmtId="0" fontId="0" fillId="0" borderId="23" xfId="0" applyBorder="1"/>
    <xf numFmtId="44" fontId="0" fillId="0" borderId="23" xfId="0" applyNumberFormat="1" applyBorder="1"/>
    <xf numFmtId="0" fontId="0" fillId="0" borderId="23" xfId="0" applyBorder="1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4" borderId="28" xfId="0" applyFill="1" applyBorder="1"/>
    <xf numFmtId="0" fontId="0" fillId="4" borderId="29" xfId="0" applyFill="1" applyBorder="1"/>
    <xf numFmtId="0" fontId="0" fillId="0" borderId="0" xfId="0" quotePrefix="1" applyAlignment="1">
      <alignment horizontal="left"/>
    </xf>
    <xf numFmtId="0" fontId="34" fillId="0" borderId="0" xfId="0" applyFont="1"/>
    <xf numFmtId="0" fontId="35" fillId="0" borderId="0" xfId="0" applyFont="1"/>
    <xf numFmtId="9" fontId="0" fillId="0" borderId="0" xfId="0" applyNumberFormat="1"/>
    <xf numFmtId="0" fontId="16" fillId="10" borderId="25" xfId="0" applyFont="1" applyFill="1" applyBorder="1" applyAlignment="1">
      <alignment horizontal="center" wrapText="1"/>
    </xf>
    <xf numFmtId="0" fontId="32" fillId="11" borderId="27" xfId="0" applyFont="1" applyFill="1" applyBorder="1" applyAlignment="1">
      <alignment horizontal="center" vertical="center"/>
    </xf>
    <xf numFmtId="0" fontId="5" fillId="0" borderId="0" xfId="0" applyFont="1"/>
    <xf numFmtId="0" fontId="0" fillId="0" borderId="24" xfId="0" applyBorder="1" applyAlignment="1">
      <alignment horizontal="center" wrapText="1"/>
    </xf>
    <xf numFmtId="0" fontId="10" fillId="0" borderId="0" xfId="2" applyAlignment="1">
      <alignment horizontal="left" vertical="center" indent="2"/>
    </xf>
    <xf numFmtId="2" fontId="0" fillId="5" borderId="0" xfId="0" applyNumberFormat="1" applyFill="1" applyAlignment="1">
      <alignment horizontal="right"/>
    </xf>
    <xf numFmtId="0" fontId="33" fillId="0" borderId="0" xfId="0" applyFont="1"/>
    <xf numFmtId="0" fontId="40" fillId="0" borderId="0" xfId="0" applyFont="1"/>
    <xf numFmtId="44" fontId="33" fillId="0" borderId="0" xfId="0" applyNumberFormat="1" applyFont="1"/>
    <xf numFmtId="2" fontId="0" fillId="0" borderId="5" xfId="0" applyNumberFormat="1" applyBorder="1" applyAlignment="1">
      <alignment horizontal="right"/>
    </xf>
    <xf numFmtId="0" fontId="2" fillId="0" borderId="37" xfId="0" applyFont="1" applyBorder="1"/>
    <xf numFmtId="0" fontId="0" fillId="0" borderId="38" xfId="0" applyBorder="1"/>
    <xf numFmtId="0" fontId="0" fillId="0" borderId="39" xfId="0" applyBorder="1"/>
    <xf numFmtId="44" fontId="0" fillId="0" borderId="39" xfId="0" applyNumberFormat="1" applyBorder="1"/>
    <xf numFmtId="0" fontId="0" fillId="0" borderId="40" xfId="0" applyBorder="1" applyAlignment="1">
      <alignment horizontal="center" wrapText="1"/>
    </xf>
    <xf numFmtId="2" fontId="0" fillId="0" borderId="41" xfId="0" applyNumberFormat="1" applyBorder="1" applyAlignment="1">
      <alignment horizontal="right"/>
    </xf>
    <xf numFmtId="0" fontId="2" fillId="0" borderId="42" xfId="0" applyFont="1" applyBorder="1"/>
    <xf numFmtId="44" fontId="0" fillId="0" borderId="38" xfId="0" applyNumberFormat="1" applyBorder="1"/>
    <xf numFmtId="0" fontId="0" fillId="0" borderId="38" xfId="0" applyBorder="1" applyAlignment="1">
      <alignment horizontal="center" wrapText="1"/>
    </xf>
    <xf numFmtId="0" fontId="0" fillId="0" borderId="45" xfId="0" applyBorder="1"/>
    <xf numFmtId="44" fontId="0" fillId="0" borderId="45" xfId="0" applyNumberFormat="1" applyBorder="1"/>
    <xf numFmtId="0" fontId="0" fillId="0" borderId="45" xfId="0" applyBorder="1" applyAlignment="1">
      <alignment horizontal="center" wrapText="1"/>
    </xf>
    <xf numFmtId="0" fontId="5" fillId="0" borderId="36" xfId="0" applyFont="1" applyBorder="1"/>
    <xf numFmtId="0" fontId="2" fillId="0" borderId="36" xfId="0" applyFont="1" applyBorder="1"/>
    <xf numFmtId="0" fontId="2" fillId="0" borderId="47" xfId="0" applyFont="1" applyBorder="1"/>
    <xf numFmtId="0" fontId="0" fillId="0" borderId="48" xfId="0" applyBorder="1"/>
    <xf numFmtId="44" fontId="0" fillId="0" borderId="48" xfId="0" applyNumberFormat="1" applyBorder="1"/>
    <xf numFmtId="0" fontId="0" fillId="0" borderId="48" xfId="0" applyBorder="1" applyAlignment="1">
      <alignment horizontal="center" wrapText="1"/>
    </xf>
    <xf numFmtId="43" fontId="2" fillId="7" borderId="0" xfId="1" applyFont="1" applyFill="1" applyAlignment="1">
      <alignment horizontal="center"/>
    </xf>
    <xf numFmtId="0" fontId="0" fillId="0" borderId="34" xfId="0" applyBorder="1"/>
    <xf numFmtId="0" fontId="33" fillId="0" borderId="34" xfId="0" applyFont="1" applyBorder="1"/>
    <xf numFmtId="0" fontId="0" fillId="0" borderId="34" xfId="0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33" fillId="0" borderId="49" xfId="0" applyFont="1" applyBorder="1"/>
    <xf numFmtId="0" fontId="2" fillId="8" borderId="5" xfId="0" applyFont="1" applyFill="1" applyBorder="1" applyAlignment="1">
      <alignment horizontal="left" vertical="center"/>
    </xf>
    <xf numFmtId="0" fontId="0" fillId="0" borderId="35" xfId="0" applyBorder="1"/>
    <xf numFmtId="44" fontId="0" fillId="0" borderId="35" xfId="0" applyNumberFormat="1" applyBorder="1"/>
    <xf numFmtId="170" fontId="0" fillId="0" borderId="35" xfId="0" applyNumberFormat="1" applyBorder="1"/>
    <xf numFmtId="0" fontId="2" fillId="8" borderId="22" xfId="0" applyFont="1" applyFill="1" applyBorder="1" applyAlignment="1">
      <alignment horizontal="left" vertical="center"/>
    </xf>
    <xf numFmtId="9" fontId="2" fillId="7" borderId="0" xfId="1" applyNumberFormat="1" applyFont="1" applyFill="1" applyAlignment="1">
      <alignment horizontal="center"/>
    </xf>
    <xf numFmtId="2" fontId="0" fillId="0" borderId="35" xfId="0" quotePrefix="1" applyNumberFormat="1" applyBorder="1"/>
    <xf numFmtId="0" fontId="5" fillId="10" borderId="25" xfId="0" applyFont="1" applyFill="1" applyBorder="1" applyAlignment="1">
      <alignment horizontal="center" wrapText="1"/>
    </xf>
    <xf numFmtId="44" fontId="0" fillId="7" borderId="35" xfId="0" applyNumberFormat="1" applyFill="1" applyBorder="1"/>
    <xf numFmtId="9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left"/>
    </xf>
    <xf numFmtId="0" fontId="0" fillId="4" borderId="52" xfId="0" applyFill="1" applyBorder="1" applyAlignment="1">
      <alignment wrapText="1"/>
    </xf>
    <xf numFmtId="0" fontId="0" fillId="4" borderId="52" xfId="0" applyFill="1" applyBorder="1"/>
    <xf numFmtId="0" fontId="2" fillId="0" borderId="54" xfId="0" applyFont="1" applyBorder="1"/>
    <xf numFmtId="0" fontId="0" fillId="4" borderId="55" xfId="0" applyFill="1" applyBorder="1"/>
    <xf numFmtId="0" fontId="0" fillId="4" borderId="56" xfId="0" applyFill="1" applyBorder="1"/>
    <xf numFmtId="0" fontId="0" fillId="4" borderId="57" xfId="0" applyFill="1" applyBorder="1"/>
    <xf numFmtId="0" fontId="10" fillId="4" borderId="53" xfId="2" applyFill="1" applyBorder="1"/>
    <xf numFmtId="0" fontId="2" fillId="0" borderId="11" xfId="0" applyFont="1" applyBorder="1"/>
    <xf numFmtId="2" fontId="0" fillId="5" borderId="44" xfId="0" applyNumberFormat="1" applyFill="1" applyBorder="1" applyAlignment="1">
      <alignment horizontal="right"/>
    </xf>
    <xf numFmtId="2" fontId="0" fillId="0" borderId="46" xfId="0" applyNumberFormat="1" applyBorder="1" applyAlignment="1">
      <alignment horizontal="right"/>
    </xf>
    <xf numFmtId="0" fontId="33" fillId="0" borderId="58" xfId="0" applyFont="1" applyBorder="1"/>
    <xf numFmtId="44" fontId="0" fillId="0" borderId="58" xfId="0" applyNumberFormat="1" applyBorder="1"/>
    <xf numFmtId="2" fontId="0" fillId="5" borderId="6" xfId="0" applyNumberFormat="1" applyFill="1" applyBorder="1" applyAlignment="1">
      <alignment horizontal="right"/>
    </xf>
    <xf numFmtId="0" fontId="2" fillId="0" borderId="59" xfId="0" applyFont="1" applyBorder="1"/>
    <xf numFmtId="0" fontId="0" fillId="0" borderId="10" xfId="0" applyBorder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44" fontId="0" fillId="0" borderId="0" xfId="0" applyNumberFormat="1" applyAlignment="1">
      <alignment horizontal="center" wrapText="1"/>
    </xf>
    <xf numFmtId="44" fontId="0" fillId="0" borderId="0" xfId="0" applyNumberFormat="1" applyAlignment="1">
      <alignment horizontal="center"/>
    </xf>
    <xf numFmtId="0" fontId="5" fillId="0" borderId="11" xfId="0" applyFont="1" applyBorder="1"/>
    <xf numFmtId="0" fontId="0" fillId="4" borderId="73" xfId="0" applyFill="1" applyBorder="1"/>
    <xf numFmtId="0" fontId="0" fillId="4" borderId="74" xfId="0" applyFill="1" applyBorder="1"/>
    <xf numFmtId="2" fontId="0" fillId="5" borderId="75" xfId="0" applyNumberFormat="1" applyFill="1" applyBorder="1" applyAlignment="1">
      <alignment horizontal="right"/>
    </xf>
    <xf numFmtId="0" fontId="0" fillId="0" borderId="47" xfId="0" applyBorder="1"/>
    <xf numFmtId="0" fontId="0" fillId="0" borderId="78" xfId="0" applyBorder="1" applyAlignment="1">
      <alignment horizontal="center" wrapText="1"/>
    </xf>
    <xf numFmtId="0" fontId="2" fillId="0" borderId="80" xfId="0" applyFont="1" applyBorder="1"/>
    <xf numFmtId="44" fontId="0" fillId="5" borderId="43" xfId="3" applyFont="1" applyFill="1" applyBorder="1" applyAlignment="1">
      <alignment horizontal="right"/>
    </xf>
    <xf numFmtId="44" fontId="0" fillId="5" borderId="44" xfId="3" applyFont="1" applyFill="1" applyBorder="1" applyAlignment="1">
      <alignment horizontal="right"/>
    </xf>
    <xf numFmtId="44" fontId="0" fillId="5" borderId="75" xfId="3" applyFont="1" applyFill="1" applyBorder="1" applyAlignment="1">
      <alignment horizontal="right"/>
    </xf>
    <xf numFmtId="44" fontId="0" fillId="5" borderId="77" xfId="3" applyFont="1" applyFill="1" applyBorder="1" applyAlignment="1">
      <alignment horizontal="right"/>
    </xf>
    <xf numFmtId="44" fontId="0" fillId="5" borderId="79" xfId="0" applyNumberFormat="1" applyFill="1" applyBorder="1" applyAlignment="1">
      <alignment horizontal="right"/>
    </xf>
    <xf numFmtId="44" fontId="0" fillId="5" borderId="76" xfId="3" applyFont="1" applyFill="1" applyBorder="1" applyAlignment="1">
      <alignment horizontal="right"/>
    </xf>
    <xf numFmtId="2" fontId="0" fillId="5" borderId="5" xfId="0" applyNumberFormat="1" applyFill="1" applyBorder="1" applyAlignment="1">
      <alignment horizontal="right"/>
    </xf>
    <xf numFmtId="0" fontId="33" fillId="0" borderId="0" xfId="0" applyFont="1" applyAlignment="1">
      <alignment wrapText="1"/>
    </xf>
    <xf numFmtId="0" fontId="5" fillId="2" borderId="81" xfId="0" applyFont="1" applyFill="1" applyBorder="1" applyAlignment="1">
      <alignment vertical="center"/>
    </xf>
    <xf numFmtId="0" fontId="0" fillId="9" borderId="0" xfId="0" applyFill="1" applyAlignment="1">
      <alignment vertical="center"/>
    </xf>
    <xf numFmtId="0" fontId="15" fillId="9" borderId="0" xfId="0" applyFont="1" applyFill="1" applyAlignment="1">
      <alignment vertical="center"/>
    </xf>
    <xf numFmtId="0" fontId="39" fillId="9" borderId="0" xfId="0" applyFont="1" applyFill="1"/>
    <xf numFmtId="0" fontId="29" fillId="9" borderId="0" xfId="0" applyFont="1" applyFill="1" applyAlignment="1">
      <alignment vertical="center"/>
    </xf>
    <xf numFmtId="0" fontId="30" fillId="9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39" fillId="0" borderId="0" xfId="0" applyFont="1"/>
    <xf numFmtId="0" fontId="5" fillId="3" borderId="60" xfId="0" applyFont="1" applyFill="1" applyBorder="1" applyAlignment="1">
      <alignment vertical="center"/>
    </xf>
    <xf numFmtId="0" fontId="47" fillId="15" borderId="61" xfId="0" applyFont="1" applyFill="1" applyBorder="1" applyAlignment="1">
      <alignment vertical="center"/>
    </xf>
    <xf numFmtId="0" fontId="39" fillId="13" borderId="0" xfId="0" applyFont="1" applyFill="1"/>
    <xf numFmtId="0" fontId="45" fillId="13" borderId="0" xfId="0" applyFont="1" applyFill="1" applyAlignment="1">
      <alignment vertical="center"/>
    </xf>
    <xf numFmtId="0" fontId="46" fillId="13" borderId="0" xfId="0" applyFont="1" applyFill="1" applyAlignment="1">
      <alignment vertical="center"/>
    </xf>
    <xf numFmtId="0" fontId="39" fillId="13" borderId="0" xfId="0" applyFont="1" applyFill="1" applyAlignment="1">
      <alignment vertical="center"/>
    </xf>
    <xf numFmtId="0" fontId="39" fillId="13" borderId="0" xfId="0" applyFont="1" applyFill="1" applyAlignment="1">
      <alignment horizontal="center" wrapText="1"/>
    </xf>
    <xf numFmtId="0" fontId="39" fillId="13" borderId="0" xfId="0" applyFont="1" applyFill="1" applyAlignment="1">
      <alignment horizontal="center"/>
    </xf>
    <xf numFmtId="0" fontId="38" fillId="15" borderId="62" xfId="0" applyFont="1" applyFill="1" applyBorder="1" applyAlignment="1">
      <alignment vertical="center" wrapText="1"/>
    </xf>
    <xf numFmtId="1" fontId="44" fillId="15" borderId="64" xfId="0" applyNumberFormat="1" applyFont="1" applyFill="1" applyBorder="1" applyAlignment="1">
      <alignment vertical="center"/>
    </xf>
    <xf numFmtId="0" fontId="39" fillId="0" borderId="0" xfId="0" applyFont="1" applyAlignment="1">
      <alignment horizontal="left"/>
    </xf>
    <xf numFmtId="0" fontId="38" fillId="15" borderId="0" xfId="0" applyFont="1" applyFill="1" applyAlignment="1">
      <alignment vertical="center" wrapText="1"/>
    </xf>
    <xf numFmtId="1" fontId="44" fillId="15" borderId="72" xfId="0" applyNumberFormat="1" applyFont="1" applyFill="1" applyBorder="1" applyAlignment="1">
      <alignment vertical="center"/>
    </xf>
    <xf numFmtId="0" fontId="38" fillId="15" borderId="63" xfId="0" applyFont="1" applyFill="1" applyBorder="1" applyAlignment="1">
      <alignment vertical="center" wrapText="1"/>
    </xf>
    <xf numFmtId="1" fontId="44" fillId="15" borderId="65" xfId="0" applyNumberFormat="1" applyFont="1" applyFill="1" applyBorder="1" applyAlignment="1">
      <alignment vertical="center"/>
    </xf>
    <xf numFmtId="0" fontId="32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14" borderId="0" xfId="0" applyFont="1" applyFill="1"/>
    <xf numFmtId="0" fontId="32" fillId="14" borderId="0" xfId="0" applyFont="1" applyFill="1" applyAlignment="1">
      <alignment vertical="center"/>
    </xf>
    <xf numFmtId="0" fontId="46" fillId="14" borderId="0" xfId="0" applyFont="1" applyFill="1" applyAlignment="1">
      <alignment vertical="center"/>
    </xf>
    <xf numFmtId="0" fontId="39" fillId="14" borderId="0" xfId="0" applyFont="1" applyFill="1" applyAlignment="1">
      <alignment vertical="center"/>
    </xf>
    <xf numFmtId="0" fontId="39" fillId="14" borderId="0" xfId="0" applyFont="1" applyFill="1" applyAlignment="1">
      <alignment horizontal="center" wrapText="1"/>
    </xf>
    <xf numFmtId="0" fontId="39" fillId="14" borderId="0" xfId="0" applyFont="1" applyFill="1" applyAlignment="1">
      <alignment horizontal="center"/>
    </xf>
    <xf numFmtId="0" fontId="38" fillId="15" borderId="62" xfId="0" applyFont="1" applyFill="1" applyBorder="1" applyAlignment="1">
      <alignment horizontal="left" vertical="center" wrapText="1"/>
    </xf>
    <xf numFmtId="1" fontId="44" fillId="15" borderId="64" xfId="0" applyNumberFormat="1" applyFont="1" applyFill="1" applyBorder="1" applyAlignment="1">
      <alignment horizontal="left" vertical="center" wrapText="1"/>
    </xf>
    <xf numFmtId="0" fontId="38" fillId="15" borderId="63" xfId="0" applyFont="1" applyFill="1" applyBorder="1" applyAlignment="1">
      <alignment horizontal="left" vertical="center" wrapText="1"/>
    </xf>
    <xf numFmtId="1" fontId="44" fillId="15" borderId="65" xfId="0" applyNumberFormat="1" applyFont="1" applyFill="1" applyBorder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1" fontId="44" fillId="0" borderId="0" xfId="0" applyNumberFormat="1" applyFont="1" applyAlignment="1">
      <alignment horizontal="left" vertical="center" wrapText="1"/>
    </xf>
    <xf numFmtId="0" fontId="38" fillId="15" borderId="66" xfId="0" applyFont="1" applyFill="1" applyBorder="1" applyAlignment="1">
      <alignment horizontal="left" vertical="center" wrapText="1"/>
    </xf>
    <xf numFmtId="0" fontId="38" fillId="15" borderId="70" xfId="0" applyFont="1" applyFill="1" applyBorder="1" applyAlignment="1">
      <alignment horizontal="left" vertical="center" wrapText="1"/>
    </xf>
    <xf numFmtId="1" fontId="44" fillId="15" borderId="71" xfId="0" applyNumberFormat="1" applyFont="1" applyFill="1" applyBorder="1" applyAlignment="1">
      <alignment vertical="center"/>
    </xf>
    <xf numFmtId="1" fontId="44" fillId="15" borderId="71" xfId="0" applyNumberFormat="1" applyFont="1" applyFill="1" applyBorder="1" applyAlignment="1">
      <alignment horizontal="left" vertical="center" wrapText="1"/>
    </xf>
    <xf numFmtId="0" fontId="38" fillId="15" borderId="68" xfId="0" applyFont="1" applyFill="1" applyBorder="1" applyAlignment="1">
      <alignment horizontal="left" vertical="center" wrapText="1"/>
    </xf>
    <xf numFmtId="1" fontId="44" fillId="15" borderId="69" xfId="0" applyNumberFormat="1" applyFont="1" applyFill="1" applyBorder="1" applyAlignment="1">
      <alignment horizontal="left" vertical="center" wrapText="1"/>
    </xf>
    <xf numFmtId="0" fontId="38" fillId="15" borderId="62" xfId="0" applyFont="1" applyFill="1" applyBorder="1" applyAlignment="1">
      <alignment vertical="center"/>
    </xf>
    <xf numFmtId="0" fontId="41" fillId="15" borderId="64" xfId="0" applyFont="1" applyFill="1" applyBorder="1" applyAlignment="1">
      <alignment horizontal="right" vertical="center"/>
    </xf>
    <xf numFmtId="0" fontId="38" fillId="15" borderId="63" xfId="0" applyFont="1" applyFill="1" applyBorder="1" applyAlignment="1">
      <alignment vertical="center"/>
    </xf>
    <xf numFmtId="9" fontId="42" fillId="0" borderId="0" xfId="6" applyFont="1" applyFill="1" applyBorder="1" applyAlignment="1" applyProtection="1">
      <alignment vertical="center"/>
    </xf>
    <xf numFmtId="0" fontId="38" fillId="15" borderId="0" xfId="0" applyFont="1" applyFill="1" applyAlignment="1">
      <alignment vertical="center"/>
    </xf>
    <xf numFmtId="9" fontId="44" fillId="15" borderId="65" xfId="6" applyFont="1" applyFill="1" applyBorder="1" applyAlignment="1" applyProtection="1">
      <alignment vertical="center"/>
    </xf>
    <xf numFmtId="0" fontId="0" fillId="9" borderId="0" xfId="0" applyFill="1" applyAlignment="1" applyProtection="1">
      <alignment vertical="center"/>
      <protection locked="0"/>
    </xf>
    <xf numFmtId="0" fontId="29" fillId="9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39" fillId="13" borderId="0" xfId="0" applyFont="1" applyFill="1" applyAlignment="1" applyProtection="1">
      <alignment vertical="center"/>
      <protection locked="0"/>
    </xf>
    <xf numFmtId="0" fontId="37" fillId="0" borderId="0" xfId="0" applyFont="1" applyAlignment="1" applyProtection="1">
      <alignment vertical="center"/>
      <protection locked="0"/>
    </xf>
    <xf numFmtId="0" fontId="39" fillId="14" borderId="0" xfId="0" applyFont="1" applyFill="1" applyAlignment="1" applyProtection="1">
      <alignment vertical="center"/>
      <protection locked="0"/>
    </xf>
    <xf numFmtId="1" fontId="36" fillId="0" borderId="0" xfId="0" applyNumberFormat="1" applyFont="1" applyAlignment="1" applyProtection="1">
      <alignment horizontal="right" vertical="center"/>
      <protection locked="0"/>
    </xf>
    <xf numFmtId="9" fontId="36" fillId="0" borderId="0" xfId="6" applyFont="1" applyFill="1" applyBorder="1" applyAlignment="1" applyProtection="1">
      <alignment vertical="center"/>
      <protection locked="0"/>
    </xf>
    <xf numFmtId="0" fontId="36" fillId="16" borderId="82" xfId="0" applyFont="1" applyFill="1" applyBorder="1" applyAlignment="1" applyProtection="1">
      <alignment vertical="center"/>
      <protection locked="0"/>
    </xf>
    <xf numFmtId="0" fontId="36" fillId="17" borderId="62" xfId="0" applyFont="1" applyFill="1" applyBorder="1" applyAlignment="1" applyProtection="1">
      <alignment horizontal="right" vertical="center"/>
      <protection locked="0"/>
    </xf>
    <xf numFmtId="1" fontId="36" fillId="17" borderId="63" xfId="0" applyNumberFormat="1" applyFont="1" applyFill="1" applyBorder="1" applyAlignment="1" applyProtection="1">
      <alignment horizontal="right" vertical="center"/>
      <protection locked="0"/>
    </xf>
    <xf numFmtId="44" fontId="36" fillId="17" borderId="67" xfId="3" applyFont="1" applyFill="1" applyBorder="1" applyAlignment="1" applyProtection="1">
      <alignment vertical="center"/>
      <protection locked="0"/>
    </xf>
    <xf numFmtId="44" fontId="36" fillId="17" borderId="71" xfId="3" applyFont="1" applyFill="1" applyBorder="1" applyAlignment="1" applyProtection="1">
      <alignment vertical="center"/>
      <protection locked="0"/>
    </xf>
    <xf numFmtId="44" fontId="36" fillId="17" borderId="62" xfId="0" applyNumberFormat="1" applyFont="1" applyFill="1" applyBorder="1" applyAlignment="1" applyProtection="1">
      <alignment vertical="center"/>
      <protection locked="0"/>
    </xf>
    <xf numFmtId="1" fontId="36" fillId="17" borderId="0" xfId="0" applyNumberFormat="1" applyFont="1" applyFill="1" applyAlignment="1" applyProtection="1">
      <alignment vertical="center"/>
      <protection locked="0"/>
    </xf>
    <xf numFmtId="9" fontId="36" fillId="17" borderId="63" xfId="6" applyFont="1" applyFill="1" applyBorder="1" applyAlignment="1" applyProtection="1">
      <alignment vertical="center"/>
      <protection locked="0"/>
    </xf>
    <xf numFmtId="1" fontId="36" fillId="17" borderId="69" xfId="3" applyNumberFormat="1" applyFont="1" applyFill="1" applyBorder="1" applyAlignment="1" applyProtection="1">
      <alignment vertical="center"/>
      <protection locked="0"/>
    </xf>
    <xf numFmtId="0" fontId="36" fillId="17" borderId="67" xfId="0" applyFont="1" applyFill="1" applyBorder="1" applyAlignment="1" applyProtection="1">
      <alignment horizontal="right" vertical="center"/>
      <protection locked="0"/>
    </xf>
    <xf numFmtId="9" fontId="36" fillId="17" borderId="69" xfId="6" applyFont="1" applyFill="1" applyBorder="1" applyAlignment="1" applyProtection="1">
      <alignment vertical="center"/>
      <protection locked="0"/>
    </xf>
    <xf numFmtId="9" fontId="36" fillId="17" borderId="67" xfId="0" applyNumberFormat="1" applyFont="1" applyFill="1" applyBorder="1" applyAlignment="1" applyProtection="1">
      <alignment vertical="center"/>
      <protection locked="0"/>
    </xf>
    <xf numFmtId="0" fontId="36" fillId="17" borderId="71" xfId="0" applyFont="1" applyFill="1" applyBorder="1" applyAlignment="1" applyProtection="1">
      <alignment vertical="center"/>
      <protection locked="0"/>
    </xf>
    <xf numFmtId="164" fontId="36" fillId="17" borderId="71" xfId="1" applyNumberFormat="1" applyFont="1" applyFill="1" applyBorder="1" applyAlignment="1" applyProtection="1">
      <alignment vertical="center"/>
      <protection locked="0"/>
    </xf>
    <xf numFmtId="164" fontId="36" fillId="17" borderId="71" xfId="1" applyNumberFormat="1" applyFont="1" applyFill="1" applyBorder="1" applyAlignment="1" applyProtection="1">
      <alignment horizontal="right" vertical="center"/>
      <protection locked="0"/>
    </xf>
    <xf numFmtId="44" fontId="36" fillId="17" borderId="69" xfId="3" applyFont="1" applyFill="1" applyBorder="1" applyAlignment="1" applyProtection="1">
      <alignment vertical="center"/>
      <protection locked="0"/>
    </xf>
    <xf numFmtId="2" fontId="36" fillId="17" borderId="62" xfId="0" applyNumberFormat="1" applyFont="1" applyFill="1" applyBorder="1" applyAlignment="1" applyProtection="1">
      <alignment vertical="center"/>
      <protection locked="0"/>
    </xf>
    <xf numFmtId="9" fontId="36" fillId="17" borderId="63" xfId="0" applyNumberFormat="1" applyFont="1" applyFill="1" applyBorder="1" applyAlignment="1" applyProtection="1">
      <alignment vertical="center"/>
      <protection locked="0"/>
    </xf>
    <xf numFmtId="1" fontId="36" fillId="17" borderId="62" xfId="0" applyNumberFormat="1" applyFont="1" applyFill="1" applyBorder="1" applyAlignment="1" applyProtection="1">
      <alignment vertical="center"/>
      <protection locked="0"/>
    </xf>
    <xf numFmtId="2" fontId="36" fillId="17" borderId="0" xfId="0" applyNumberFormat="1" applyFont="1" applyFill="1" applyAlignment="1" applyProtection="1">
      <alignment vertical="center"/>
      <protection locked="0"/>
    </xf>
    <xf numFmtId="0" fontId="36" fillId="17" borderId="0" xfId="0" applyFont="1" applyFill="1" applyAlignment="1" applyProtection="1">
      <alignment vertical="center"/>
      <protection locked="0"/>
    </xf>
    <xf numFmtId="0" fontId="36" fillId="17" borderId="63" xfId="0" applyFont="1" applyFill="1" applyBorder="1" applyAlignment="1" applyProtection="1">
      <alignment vertical="center"/>
      <protection locked="0"/>
    </xf>
    <xf numFmtId="9" fontId="36" fillId="17" borderId="71" xfId="0" applyNumberFormat="1" applyFont="1" applyFill="1" applyBorder="1" applyAlignment="1" applyProtection="1">
      <alignment vertical="center"/>
      <protection locked="0"/>
    </xf>
    <xf numFmtId="1" fontId="44" fillId="15" borderId="72" xfId="0" applyNumberFormat="1" applyFont="1" applyFill="1" applyBorder="1" applyAlignment="1">
      <alignment horizontal="left" vertical="center" wrapText="1"/>
    </xf>
    <xf numFmtId="44" fontId="36" fillId="17" borderId="71" xfId="3" applyFont="1" applyFill="1" applyBorder="1" applyAlignment="1" applyProtection="1">
      <alignment horizontal="right" vertical="center"/>
      <protection locked="0"/>
    </xf>
    <xf numFmtId="164" fontId="36" fillId="17" borderId="67" xfId="1" applyNumberFormat="1" applyFont="1" applyFill="1" applyBorder="1" applyAlignment="1" applyProtection="1">
      <alignment vertical="center"/>
      <protection locked="0"/>
    </xf>
    <xf numFmtId="44" fontId="0" fillId="7" borderId="50" xfId="3" applyFont="1" applyFill="1" applyBorder="1"/>
    <xf numFmtId="167" fontId="33" fillId="7" borderId="29" xfId="0" applyNumberFormat="1" applyFont="1" applyFill="1" applyBorder="1" applyAlignment="1" applyProtection="1">
      <alignment horizontal="right" vertical="top"/>
      <protection locked="0"/>
    </xf>
    <xf numFmtId="168" fontId="33" fillId="7" borderId="29" xfId="0" applyNumberFormat="1" applyFont="1" applyFill="1" applyBorder="1" applyAlignment="1" applyProtection="1">
      <alignment horizontal="right" vertical="top"/>
      <protection locked="0"/>
    </xf>
    <xf numFmtId="44" fontId="0" fillId="7" borderId="1" xfId="3" applyFont="1" applyFill="1" applyBorder="1"/>
    <xf numFmtId="2" fontId="33" fillId="7" borderId="21" xfId="0" applyNumberFormat="1" applyFont="1" applyFill="1" applyBorder="1" applyAlignment="1" applyProtection="1">
      <alignment horizontal="right" vertical="top"/>
      <protection locked="0"/>
    </xf>
    <xf numFmtId="9" fontId="0" fillId="7" borderId="51" xfId="6" applyFont="1" applyFill="1" applyBorder="1"/>
    <xf numFmtId="44" fontId="0" fillId="5" borderId="46" xfId="3" applyFont="1" applyFill="1" applyBorder="1" applyAlignment="1">
      <alignment horizontal="right"/>
    </xf>
    <xf numFmtId="0" fontId="32" fillId="3" borderId="66" xfId="0" applyFont="1" applyFill="1" applyBorder="1" applyAlignment="1">
      <alignment horizontal="left" vertical="center" wrapText="1"/>
    </xf>
    <xf numFmtId="0" fontId="32" fillId="3" borderId="70" xfId="0" applyFont="1" applyFill="1" applyBorder="1" applyAlignment="1">
      <alignment horizontal="left" vertical="center" wrapText="1"/>
    </xf>
    <xf numFmtId="0" fontId="32" fillId="3" borderId="68" xfId="0" applyFont="1" applyFill="1" applyBorder="1" applyAlignment="1">
      <alignment horizontal="left" vertical="center" wrapText="1"/>
    </xf>
    <xf numFmtId="0" fontId="32" fillId="3" borderId="64" xfId="0" applyFont="1" applyFill="1" applyBorder="1" applyAlignment="1">
      <alignment horizontal="left" vertical="center" wrapText="1"/>
    </xf>
    <xf numFmtId="0" fontId="32" fillId="3" borderId="72" xfId="0" applyFont="1" applyFill="1" applyBorder="1" applyAlignment="1">
      <alignment horizontal="left" vertical="center" wrapText="1"/>
    </xf>
    <xf numFmtId="0" fontId="32" fillId="3" borderId="65" xfId="0" applyFont="1" applyFill="1" applyBorder="1" applyAlignment="1">
      <alignment horizontal="left" vertical="center" wrapText="1"/>
    </xf>
    <xf numFmtId="0" fontId="32" fillId="3" borderId="71" xfId="0" applyFont="1" applyFill="1" applyBorder="1" applyAlignment="1">
      <alignment horizontal="left" vertical="center" wrapText="1"/>
    </xf>
    <xf numFmtId="0" fontId="32" fillId="3" borderId="69" xfId="0" applyFont="1" applyFill="1" applyBorder="1" applyAlignment="1">
      <alignment horizontal="left" vertical="center" wrapText="1"/>
    </xf>
    <xf numFmtId="0" fontId="32" fillId="3" borderId="66" xfId="0" applyFont="1" applyFill="1" applyBorder="1" applyAlignment="1">
      <alignment vertical="center" wrapText="1"/>
    </xf>
    <xf numFmtId="0" fontId="32" fillId="3" borderId="70" xfId="0" applyFont="1" applyFill="1" applyBorder="1" applyAlignment="1">
      <alignment vertical="center" wrapText="1"/>
    </xf>
    <xf numFmtId="0" fontId="32" fillId="3" borderId="68" xfId="0" applyFont="1" applyFill="1" applyBorder="1" applyAlignment="1">
      <alignment vertical="center" wrapText="1"/>
    </xf>
    <xf numFmtId="0" fontId="5" fillId="3" borderId="66" xfId="0" applyFont="1" applyFill="1" applyBorder="1" applyAlignment="1">
      <alignment horizontal="left" vertical="center"/>
    </xf>
    <xf numFmtId="0" fontId="5" fillId="3" borderId="68" xfId="0" applyFont="1" applyFill="1" applyBorder="1" applyAlignment="1">
      <alignment horizontal="left" vertical="center"/>
    </xf>
    <xf numFmtId="0" fontId="32" fillId="12" borderId="30" xfId="0" applyFont="1" applyFill="1" applyBorder="1" applyAlignment="1">
      <alignment horizontal="left" vertical="center" wrapText="1"/>
    </xf>
    <xf numFmtId="0" fontId="32" fillId="12" borderId="32" xfId="0" applyFont="1" applyFill="1" applyBorder="1" applyAlignment="1">
      <alignment horizontal="left" vertical="center" wrapText="1"/>
    </xf>
    <xf numFmtId="169" fontId="2" fillId="8" borderId="31" xfId="0" applyNumberFormat="1" applyFont="1" applyFill="1" applyBorder="1" applyAlignment="1">
      <alignment horizontal="center" vertical="center"/>
    </xf>
    <xf numFmtId="169" fontId="2" fillId="8" borderId="33" xfId="0" applyNumberFormat="1" applyFont="1" applyFill="1" applyBorder="1" applyAlignment="1">
      <alignment horizontal="center" vertical="center"/>
    </xf>
    <xf numFmtId="2" fontId="2" fillId="8" borderId="31" xfId="6" applyNumberFormat="1" applyFont="1" applyFill="1" applyBorder="1" applyAlignment="1">
      <alignment horizontal="center" vertical="center"/>
    </xf>
    <xf numFmtId="2" fontId="2" fillId="8" borderId="33" xfId="6" applyNumberFormat="1" applyFont="1" applyFill="1" applyBorder="1" applyAlignment="1">
      <alignment horizontal="center" vertical="center"/>
    </xf>
    <xf numFmtId="9" fontId="2" fillId="8" borderId="31" xfId="6" applyFont="1" applyFill="1" applyBorder="1" applyAlignment="1">
      <alignment horizontal="center" vertical="center"/>
    </xf>
    <xf numFmtId="9" fontId="2" fillId="8" borderId="33" xfId="6" applyFont="1" applyFill="1" applyBorder="1" applyAlignment="1">
      <alignment horizontal="center" vertical="center"/>
    </xf>
    <xf numFmtId="0" fontId="31" fillId="8" borderId="22" xfId="0" applyFont="1" applyFill="1" applyBorder="1" applyAlignment="1">
      <alignment horizontal="left" wrapText="1"/>
    </xf>
    <xf numFmtId="0" fontId="31" fillId="8" borderId="23" xfId="0" applyFont="1" applyFill="1" applyBorder="1" applyAlignment="1">
      <alignment horizontal="left" wrapText="1"/>
    </xf>
    <xf numFmtId="0" fontId="31" fillId="8" borderId="24" xfId="0" applyFont="1" applyFill="1" applyBorder="1" applyAlignment="1">
      <alignment horizontal="left" wrapText="1"/>
    </xf>
  </cellXfs>
  <cellStyles count="7">
    <cellStyle name="Comma" xfId="1" builtinId="3"/>
    <cellStyle name="Currency" xfId="3" builtinId="4"/>
    <cellStyle name="Currency 2" xfId="5" xr:uid="{7920465B-C89A-46B5-9052-9B025DB467FD}"/>
    <cellStyle name="Hyperlink" xfId="2" builtinId="8"/>
    <cellStyle name="Normal" xfId="0" builtinId="0"/>
    <cellStyle name="Percent" xfId="6" builtinId="5"/>
    <cellStyle name="Title" xfId="4" builtinId="15"/>
  </cellStyles>
  <dxfs count="6"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BFCBD5"/>
      <color rgb="FF8096AB"/>
      <color rgb="FF406280"/>
      <color rgb="FFA6A6A6"/>
      <color rgb="FFABD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Cash Flow overview [debonding equipment depreciation</a:t>
            </a:r>
            <a:r>
              <a:rPr lang="nl-BE" baseline="0"/>
              <a:t> time]</a:t>
            </a:r>
            <a:endParaRPr lang="nl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Calculations!$D$53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Calculations!$D$54:$D$62</c:f>
              <c:numCache>
                <c:formatCode>_-* #,##0.00\ _€_-;\-* #,##0.00\ _€_-;_-* "-"??\ _€_-;_-@_-</c:formatCode>
                <c:ptCount val="9"/>
                <c:pt idx="0" formatCode="_(&quot;€&quot;* #,##0.00_);_(&quot;€&quot;* \(#,##0.00\);_(&quot;€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B-43A7-90E8-2A67D9EC4162}"/>
            </c:ext>
          </c:extLst>
        </c:ser>
        <c:ser>
          <c:idx val="2"/>
          <c:order val="1"/>
          <c:tx>
            <c:strRef>
              <c:f>Calculations!$E$53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Calculations!$E$54:$E$62</c:f>
              <c:numCache>
                <c:formatCode>_-* #,##0.00\ _€_-;\-* #,##0.00\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B-43A7-90E8-2A67D9EC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16298335"/>
        <c:axId val="1435036319"/>
      </c:barChart>
      <c:lineChart>
        <c:grouping val="standard"/>
        <c:varyColors val="0"/>
        <c:ser>
          <c:idx val="3"/>
          <c:order val="2"/>
          <c:tx>
            <c:strRef>
              <c:f>Calculations!$F$53</c:f>
              <c:strCache>
                <c:ptCount val="1"/>
                <c:pt idx="0">
                  <c:v>CF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val>
            <c:numRef>
              <c:f>Calculations!$F$54:$F$62</c:f>
              <c:numCache>
                <c:formatCode>_("€"* #,##0.00_);_("€"* \(#,##0.00\);_("€"*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B-43A7-90E8-2A67D9EC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298335"/>
        <c:axId val="1435036319"/>
      </c:lineChart>
      <c:catAx>
        <c:axId val="19162983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5036319"/>
        <c:crosses val="autoZero"/>
        <c:auto val="1"/>
        <c:lblAlgn val="ctr"/>
        <c:lblOffset val="100"/>
        <c:noMultiLvlLbl val="0"/>
      </c:catAx>
      <c:valAx>
        <c:axId val="143503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298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Investment</a:t>
            </a:r>
            <a:r>
              <a:rPr lang="nl-BE" baseline="0"/>
              <a:t> payback time</a:t>
            </a:r>
            <a:endParaRPr lang="nl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Calculations!$G$53</c:f>
              <c:strCache>
                <c:ptCount val="1"/>
                <c:pt idx="0">
                  <c:v>Cumulative CF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val>
            <c:numRef>
              <c:f>Calculations!$G$54:$G$73</c:f>
              <c:numCache>
                <c:formatCode>_("€"* #,##0.00_);_("€"* \(#,##0.00\);_("€"*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3-4727-8445-FD92EC49C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417648"/>
        <c:axId val="1026424144"/>
      </c:lineChart>
      <c:catAx>
        <c:axId val="1026417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424144"/>
        <c:crosses val="autoZero"/>
        <c:auto val="1"/>
        <c:lblAlgn val="ctr"/>
        <c:lblOffset val="100"/>
        <c:noMultiLvlLbl val="0"/>
      </c:catAx>
      <c:valAx>
        <c:axId val="102642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41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</cx:strDim>
      <cx:numDim type="val">
        <cx:f>_xlchart.v5.1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waterfall" uniqueId="{56DA767D-0749-4869-9F8C-849385D96198}">
          <cx:spPr>
            <a:solidFill>
              <a:schemeClr val="accent5"/>
            </a:solidFill>
          </cx:spPr>
          <cx:dataPt idx="0">
            <cx:spPr>
              <a:solidFill>
                <a:srgbClr val="002E56"/>
              </a:solidFill>
            </cx:spPr>
          </cx:dataPt>
          <cx:dataPt idx="7">
            <cx:spPr>
              <a:solidFill>
                <a:srgbClr val="788EFE"/>
              </a:solidFill>
            </cx:spPr>
          </cx:dataPt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nl-BE" sz="1200"/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/>
            </a:pPr>
            <a:endParaRPr lang="en-US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 panose="020F0502020204030204"/>
            </a:endParaRPr>
          </a:p>
        </cx:txPr>
      </cx:axis>
      <cx:axis id="1" hidden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595959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nl-BE" sz="1200"/>
          </a:p>
        </cx:txPr>
      </cx:axis>
    </cx:plotArea>
  </cx:chart>
  <cx:fmtOvrs>
    <cx:fmtOvr idx="0">
      <cx:spPr>
        <a:solidFill>
          <a:schemeClr val="accent1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sv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5</xdr:row>
      <xdr:rowOff>99621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7061200" cy="1020371"/>
        </a:xfrm>
        <a:prstGeom prst="rect">
          <a:avLst/>
        </a:prstGeom>
        <a:solidFill>
          <a:srgbClr val="05245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>
            <a:solidFill>
              <a:srgbClr val="052453"/>
            </a:solidFill>
          </a:endParaRPr>
        </a:p>
      </xdr:txBody>
    </xdr:sp>
    <xdr:clientData/>
  </xdr:twoCellAnchor>
  <xdr:twoCellAnchor>
    <xdr:from>
      <xdr:col>7</xdr:col>
      <xdr:colOff>0</xdr:colOff>
      <xdr:row>1048576</xdr:row>
      <xdr:rowOff>5793733</xdr:rowOff>
    </xdr:from>
    <xdr:to>
      <xdr:col>16384</xdr:col>
      <xdr:colOff>9760857</xdr:colOff>
      <xdr:row>1048576</xdr:row>
      <xdr:rowOff>6141524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622800" y="4180833"/>
          <a:ext cx="3048907" cy="0"/>
        </a:xfrm>
        <a:prstGeom prst="rect">
          <a:avLst/>
        </a:prstGeom>
        <a:solidFill>
          <a:srgbClr val="05245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0</xdr:col>
      <xdr:colOff>0</xdr:colOff>
      <xdr:row>18</xdr:row>
      <xdr:rowOff>158749</xdr:rowOff>
    </xdr:from>
    <xdr:to>
      <xdr:col>11</xdr:col>
      <xdr:colOff>0</xdr:colOff>
      <xdr:row>19</xdr:row>
      <xdr:rowOff>182561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3809999"/>
          <a:ext cx="7061200" cy="207962"/>
        </a:xfrm>
        <a:prstGeom prst="rect">
          <a:avLst/>
        </a:prstGeom>
        <a:solidFill>
          <a:srgbClr val="05245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>
            <a:solidFill>
              <a:srgbClr val="052453"/>
            </a:solidFill>
          </a:endParaRPr>
        </a:p>
      </xdr:txBody>
    </xdr:sp>
    <xdr:clientData/>
  </xdr:twoCellAnchor>
  <xdr:twoCellAnchor editAs="oneCell">
    <xdr:from>
      <xdr:col>5</xdr:col>
      <xdr:colOff>178612</xdr:colOff>
      <xdr:row>13</xdr:row>
      <xdr:rowOff>23812</xdr:rowOff>
    </xdr:from>
    <xdr:to>
      <xdr:col>11</xdr:col>
      <xdr:colOff>0</xdr:colOff>
      <xdr:row>19</xdr:row>
      <xdr:rowOff>60352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737" y="2714625"/>
          <a:ext cx="3488513" cy="1131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215322</xdr:colOff>
      <xdr:row>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7260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349250</xdr:colOff>
      <xdr:row>0</xdr:row>
      <xdr:rowOff>0</xdr:rowOff>
    </xdr:from>
    <xdr:to>
      <xdr:col>28</xdr:col>
      <xdr:colOff>167002</xdr:colOff>
      <xdr:row>25</xdr:row>
      <xdr:rowOff>167609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0"/>
          <a:ext cx="10180952" cy="53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62885</xdr:colOff>
      <xdr:row>13</xdr:row>
      <xdr:rowOff>273050</xdr:rowOff>
    </xdr:from>
    <xdr:to>
      <xdr:col>19</xdr:col>
      <xdr:colOff>113033</xdr:colOff>
      <xdr:row>29</xdr:row>
      <xdr:rowOff>123186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2835" y="2667000"/>
          <a:ext cx="7365348" cy="3717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73660</xdr:colOff>
      <xdr:row>9</xdr:row>
      <xdr:rowOff>7500</xdr:rowOff>
    </xdr:from>
    <xdr:to>
      <xdr:col>15</xdr:col>
      <xdr:colOff>173557</xdr:colOff>
      <xdr:row>25</xdr:row>
      <xdr:rowOff>151203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3660" y="2209680"/>
          <a:ext cx="5859347" cy="30697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419100</xdr:colOff>
      <xdr:row>14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96200" cy="265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419100</xdr:colOff>
      <xdr:row>14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96200" cy="265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87313</xdr:rowOff>
    </xdr:from>
    <xdr:to>
      <xdr:col>1</xdr:col>
      <xdr:colOff>1214450</xdr:colOff>
      <xdr:row>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13"/>
          <a:ext cx="1591640" cy="585364"/>
        </a:xfrm>
        <a:prstGeom prst="rect">
          <a:avLst/>
        </a:prstGeom>
      </xdr:spPr>
    </xdr:pic>
    <xdr:clientData/>
  </xdr:twoCellAnchor>
  <xdr:twoCellAnchor editAs="oneCell">
    <xdr:from>
      <xdr:col>6</xdr:col>
      <xdr:colOff>959043</xdr:colOff>
      <xdr:row>0</xdr:row>
      <xdr:rowOff>119495</xdr:rowOff>
    </xdr:from>
    <xdr:to>
      <xdr:col>7</xdr:col>
      <xdr:colOff>34925</xdr:colOff>
      <xdr:row>3</xdr:row>
      <xdr:rowOff>2192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3383" y="119495"/>
          <a:ext cx="2015297" cy="604692"/>
        </a:xfrm>
        <a:prstGeom prst="rect">
          <a:avLst/>
        </a:prstGeom>
      </xdr:spPr>
    </xdr:pic>
    <xdr:clientData/>
  </xdr:twoCellAnchor>
  <xdr:twoCellAnchor>
    <xdr:from>
      <xdr:col>2</xdr:col>
      <xdr:colOff>3633528</xdr:colOff>
      <xdr:row>5</xdr:row>
      <xdr:rowOff>0</xdr:rowOff>
    </xdr:from>
    <xdr:to>
      <xdr:col>4</xdr:col>
      <xdr:colOff>149916</xdr:colOff>
      <xdr:row>19</xdr:row>
      <xdr:rowOff>141362</xdr:rowOff>
    </xdr:to>
    <xdr:sp macro="" textlink="">
      <xdr:nvSpPr>
        <xdr:cNvPr id="25" name="Rectangle 10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5631661" y="1032933"/>
          <a:ext cx="1706455" cy="2749096"/>
        </a:xfrm>
        <a:custGeom>
          <a:avLst/>
          <a:gdLst>
            <a:gd name="connsiteX0" fmla="*/ 0 w 1140543"/>
            <a:gd name="connsiteY0" fmla="*/ 0 h 914400"/>
            <a:gd name="connsiteX1" fmla="*/ 1140543 w 1140543"/>
            <a:gd name="connsiteY1" fmla="*/ 0 h 914400"/>
            <a:gd name="connsiteX2" fmla="*/ 1140543 w 1140543"/>
            <a:gd name="connsiteY2" fmla="*/ 914400 h 914400"/>
            <a:gd name="connsiteX3" fmla="*/ 0 w 1140543"/>
            <a:gd name="connsiteY3" fmla="*/ 914400 h 914400"/>
            <a:gd name="connsiteX4" fmla="*/ 0 w 1140543"/>
            <a:gd name="connsiteY4" fmla="*/ 0 h 914400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3 w 1144757"/>
            <a:gd name="connsiteY2" fmla="*/ 1948894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064694 w 1144757"/>
            <a:gd name="connsiteY2" fmla="*/ 895437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2 w 1144757"/>
            <a:gd name="connsiteY2" fmla="*/ 901758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2 w 1144757"/>
            <a:gd name="connsiteY2" fmla="*/ 897703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2866 w 1144757"/>
            <a:gd name="connsiteY0" fmla="*/ 753581 h 1948894"/>
            <a:gd name="connsiteX1" fmla="*/ 1144757 w 1144757"/>
            <a:gd name="connsiteY1" fmla="*/ 0 h 1948894"/>
            <a:gd name="connsiteX2" fmla="*/ 1140542 w 1144757"/>
            <a:gd name="connsiteY2" fmla="*/ 897703 h 1948894"/>
            <a:gd name="connsiteX3" fmla="*/ 0 w 1144757"/>
            <a:gd name="connsiteY3" fmla="*/ 1948894 h 1948894"/>
            <a:gd name="connsiteX4" fmla="*/ 2866 w 1144757"/>
            <a:gd name="connsiteY4" fmla="*/ 753581 h 1948894"/>
            <a:gd name="connsiteX0" fmla="*/ 276 w 1142167"/>
            <a:gd name="connsiteY0" fmla="*/ 753581 h 2229807"/>
            <a:gd name="connsiteX1" fmla="*/ 1142167 w 1142167"/>
            <a:gd name="connsiteY1" fmla="*/ 0 h 2229807"/>
            <a:gd name="connsiteX2" fmla="*/ 1137952 w 1142167"/>
            <a:gd name="connsiteY2" fmla="*/ 897703 h 2229807"/>
            <a:gd name="connsiteX3" fmla="*/ 276 w 1142167"/>
            <a:gd name="connsiteY3" fmla="*/ 2229807 h 2229807"/>
            <a:gd name="connsiteX4" fmla="*/ 276 w 1142167"/>
            <a:gd name="connsiteY4" fmla="*/ 753581 h 2229807"/>
            <a:gd name="connsiteX0" fmla="*/ 276 w 1140657"/>
            <a:gd name="connsiteY0" fmla="*/ 1272870 h 2749096"/>
            <a:gd name="connsiteX1" fmla="*/ 1140657 w 1140657"/>
            <a:gd name="connsiteY1" fmla="*/ 0 h 2749096"/>
            <a:gd name="connsiteX2" fmla="*/ 1137952 w 1140657"/>
            <a:gd name="connsiteY2" fmla="*/ 1416992 h 2749096"/>
            <a:gd name="connsiteX3" fmla="*/ 276 w 1140657"/>
            <a:gd name="connsiteY3" fmla="*/ 2749096 h 2749096"/>
            <a:gd name="connsiteX4" fmla="*/ 276 w 1140657"/>
            <a:gd name="connsiteY4" fmla="*/ 1272870 h 2749096"/>
            <a:gd name="connsiteX0" fmla="*/ 276 w 1141345"/>
            <a:gd name="connsiteY0" fmla="*/ 1272870 h 2749096"/>
            <a:gd name="connsiteX1" fmla="*/ 1140657 w 1141345"/>
            <a:gd name="connsiteY1" fmla="*/ 0 h 2749096"/>
            <a:gd name="connsiteX2" fmla="*/ 1140973 w 1141345"/>
            <a:gd name="connsiteY2" fmla="*/ 908992 h 2749096"/>
            <a:gd name="connsiteX3" fmla="*/ 276 w 1141345"/>
            <a:gd name="connsiteY3" fmla="*/ 2749096 h 2749096"/>
            <a:gd name="connsiteX4" fmla="*/ 276 w 1141345"/>
            <a:gd name="connsiteY4" fmla="*/ 1272870 h 27490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41345" h="2749096">
              <a:moveTo>
                <a:pt x="276" y="1272870"/>
              </a:moveTo>
              <a:lnTo>
                <a:pt x="1140657" y="0"/>
              </a:lnTo>
              <a:cubicBezTo>
                <a:pt x="1139252" y="649631"/>
                <a:pt x="1142378" y="259361"/>
                <a:pt x="1140973" y="908992"/>
              </a:cubicBezTo>
              <a:lnTo>
                <a:pt x="276" y="2749096"/>
              </a:lnTo>
              <a:cubicBezTo>
                <a:pt x="1231" y="2350658"/>
                <a:pt x="-679" y="1671308"/>
                <a:pt x="276" y="1272870"/>
              </a:cubicBezTo>
              <a:close/>
            </a:path>
          </a:pathLst>
        </a:custGeom>
        <a:solidFill>
          <a:schemeClr val="accent5">
            <a:alpha val="69804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endParaRPr lang="nl-NL"/>
        </a:p>
      </xdr:txBody>
    </xdr:sp>
    <xdr:clientData/>
  </xdr:twoCellAnchor>
  <xdr:twoCellAnchor>
    <xdr:from>
      <xdr:col>2</xdr:col>
      <xdr:colOff>1239432</xdr:colOff>
      <xdr:row>11</xdr:row>
      <xdr:rowOff>148590</xdr:rowOff>
    </xdr:from>
    <xdr:to>
      <xdr:col>2</xdr:col>
      <xdr:colOff>3626183</xdr:colOff>
      <xdr:row>19</xdr:row>
      <xdr:rowOff>148042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237565" y="2299123"/>
          <a:ext cx="2386751" cy="1489586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r>
            <a:rPr lang="nl-NL" sz="2400" b="1"/>
            <a:t>REVERSIBLE BONDING</a:t>
          </a:r>
        </a:p>
      </xdr:txBody>
    </xdr:sp>
    <xdr:clientData/>
  </xdr:twoCellAnchor>
  <xdr:twoCellAnchor>
    <xdr:from>
      <xdr:col>2</xdr:col>
      <xdr:colOff>3633527</xdr:colOff>
      <xdr:row>11</xdr:row>
      <xdr:rowOff>158137</xdr:rowOff>
    </xdr:from>
    <xdr:to>
      <xdr:col>4</xdr:col>
      <xdr:colOff>146930</xdr:colOff>
      <xdr:row>19</xdr:row>
      <xdr:rowOff>152828</xdr:rowOff>
    </xdr:to>
    <xdr:sp macro="" textlink="">
      <xdr:nvSpPr>
        <xdr:cNvPr id="27" name="Rectangle 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631660" y="2308670"/>
          <a:ext cx="1703470" cy="1484825"/>
        </a:xfrm>
        <a:custGeom>
          <a:avLst/>
          <a:gdLst>
            <a:gd name="connsiteX0" fmla="*/ 0 w 1140543"/>
            <a:gd name="connsiteY0" fmla="*/ 0 h 914400"/>
            <a:gd name="connsiteX1" fmla="*/ 1140543 w 1140543"/>
            <a:gd name="connsiteY1" fmla="*/ 0 h 914400"/>
            <a:gd name="connsiteX2" fmla="*/ 1140543 w 1140543"/>
            <a:gd name="connsiteY2" fmla="*/ 914400 h 914400"/>
            <a:gd name="connsiteX3" fmla="*/ 0 w 1140543"/>
            <a:gd name="connsiteY3" fmla="*/ 914400 h 914400"/>
            <a:gd name="connsiteX4" fmla="*/ 0 w 1140543"/>
            <a:gd name="connsiteY4" fmla="*/ 0 h 914400"/>
            <a:gd name="connsiteX0" fmla="*/ 0 w 1146276"/>
            <a:gd name="connsiteY0" fmla="*/ 0 h 1192446"/>
            <a:gd name="connsiteX1" fmla="*/ 1146276 w 1146276"/>
            <a:gd name="connsiteY1" fmla="*/ 278046 h 1192446"/>
            <a:gd name="connsiteX2" fmla="*/ 1146276 w 1146276"/>
            <a:gd name="connsiteY2" fmla="*/ 1192446 h 1192446"/>
            <a:gd name="connsiteX3" fmla="*/ 5733 w 1146276"/>
            <a:gd name="connsiteY3" fmla="*/ 1192446 h 1192446"/>
            <a:gd name="connsiteX4" fmla="*/ 0 w 1146276"/>
            <a:gd name="connsiteY4" fmla="*/ 0 h 1192446"/>
            <a:gd name="connsiteX0" fmla="*/ 0 w 1146276"/>
            <a:gd name="connsiteY0" fmla="*/ 0 h 1484825"/>
            <a:gd name="connsiteX1" fmla="*/ 1146276 w 1146276"/>
            <a:gd name="connsiteY1" fmla="*/ 278046 h 1484825"/>
            <a:gd name="connsiteX2" fmla="*/ 1146276 w 1146276"/>
            <a:gd name="connsiteY2" fmla="*/ 1192446 h 1484825"/>
            <a:gd name="connsiteX3" fmla="*/ 2867 w 1146276"/>
            <a:gd name="connsiteY3" fmla="*/ 1484825 h 1484825"/>
            <a:gd name="connsiteX4" fmla="*/ 0 w 1146276"/>
            <a:gd name="connsiteY4" fmla="*/ 0 h 14848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46276" h="1484825">
              <a:moveTo>
                <a:pt x="0" y="0"/>
              </a:moveTo>
              <a:lnTo>
                <a:pt x="1146276" y="278046"/>
              </a:lnTo>
              <a:lnTo>
                <a:pt x="1146276" y="1192446"/>
              </a:lnTo>
              <a:lnTo>
                <a:pt x="2867" y="1484825"/>
              </a:lnTo>
              <a:cubicBezTo>
                <a:pt x="1911" y="989883"/>
                <a:pt x="956" y="494942"/>
                <a:pt x="0" y="0"/>
              </a:cubicBezTo>
              <a:close/>
            </a:path>
          </a:pathLst>
        </a:custGeom>
        <a:solidFill>
          <a:schemeClr val="tx2">
            <a:alpha val="69804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endParaRPr lang="nl-NL"/>
        </a:p>
      </xdr:txBody>
    </xdr:sp>
    <xdr:clientData/>
  </xdr:twoCellAnchor>
  <xdr:twoCellAnchor>
    <xdr:from>
      <xdr:col>2</xdr:col>
      <xdr:colOff>3626183</xdr:colOff>
      <xdr:row>11</xdr:row>
      <xdr:rowOff>155269</xdr:rowOff>
    </xdr:from>
    <xdr:to>
      <xdr:col>4</xdr:col>
      <xdr:colOff>146362</xdr:colOff>
      <xdr:row>26</xdr:row>
      <xdr:rowOff>114204</xdr:rowOff>
    </xdr:to>
    <xdr:sp macro="" textlink="">
      <xdr:nvSpPr>
        <xdr:cNvPr id="28" name="Rectangle 1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624316" y="2305802"/>
          <a:ext cx="1710246" cy="2752935"/>
        </a:xfrm>
        <a:custGeom>
          <a:avLst/>
          <a:gdLst>
            <a:gd name="connsiteX0" fmla="*/ 0 w 1140543"/>
            <a:gd name="connsiteY0" fmla="*/ 0 h 914400"/>
            <a:gd name="connsiteX1" fmla="*/ 1140543 w 1140543"/>
            <a:gd name="connsiteY1" fmla="*/ 0 h 914400"/>
            <a:gd name="connsiteX2" fmla="*/ 1140543 w 1140543"/>
            <a:gd name="connsiteY2" fmla="*/ 914400 h 914400"/>
            <a:gd name="connsiteX3" fmla="*/ 0 w 1140543"/>
            <a:gd name="connsiteY3" fmla="*/ 914400 h 914400"/>
            <a:gd name="connsiteX4" fmla="*/ 0 w 1140543"/>
            <a:gd name="connsiteY4" fmla="*/ 0 h 914400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3 w 1144757"/>
            <a:gd name="connsiteY2" fmla="*/ 1948894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064694 w 1144757"/>
            <a:gd name="connsiteY2" fmla="*/ 895437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2 w 1144757"/>
            <a:gd name="connsiteY2" fmla="*/ 901758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44757"/>
            <a:gd name="connsiteY0" fmla="*/ 1034494 h 1948894"/>
            <a:gd name="connsiteX1" fmla="*/ 1144757 w 1144757"/>
            <a:gd name="connsiteY1" fmla="*/ 0 h 1948894"/>
            <a:gd name="connsiteX2" fmla="*/ 1140542 w 1144757"/>
            <a:gd name="connsiteY2" fmla="*/ 897703 h 1948894"/>
            <a:gd name="connsiteX3" fmla="*/ 0 w 1144757"/>
            <a:gd name="connsiteY3" fmla="*/ 1948894 h 1948894"/>
            <a:gd name="connsiteX4" fmla="*/ 0 w 1144757"/>
            <a:gd name="connsiteY4" fmla="*/ 1034494 h 1948894"/>
            <a:gd name="connsiteX0" fmla="*/ 0 w 1162644"/>
            <a:gd name="connsiteY0" fmla="*/ 1034494 h 2998253"/>
            <a:gd name="connsiteX1" fmla="*/ 1144757 w 1162644"/>
            <a:gd name="connsiteY1" fmla="*/ 0 h 2998253"/>
            <a:gd name="connsiteX2" fmla="*/ 1162576 w 1162644"/>
            <a:gd name="connsiteY2" fmla="*/ 2998253 h 2998253"/>
            <a:gd name="connsiteX3" fmla="*/ 0 w 1162644"/>
            <a:gd name="connsiteY3" fmla="*/ 1948894 h 2998253"/>
            <a:gd name="connsiteX4" fmla="*/ 0 w 1162644"/>
            <a:gd name="connsiteY4" fmla="*/ 1034494 h 2998253"/>
            <a:gd name="connsiteX0" fmla="*/ 0 w 1162680"/>
            <a:gd name="connsiteY0" fmla="*/ 0 h 1963759"/>
            <a:gd name="connsiteX1" fmla="*/ 1152102 w 1162680"/>
            <a:gd name="connsiteY1" fmla="*/ 1051366 h 1963759"/>
            <a:gd name="connsiteX2" fmla="*/ 1162576 w 1162680"/>
            <a:gd name="connsiteY2" fmla="*/ 1963759 h 1963759"/>
            <a:gd name="connsiteX3" fmla="*/ 0 w 1162680"/>
            <a:gd name="connsiteY3" fmla="*/ 914400 h 1963759"/>
            <a:gd name="connsiteX4" fmla="*/ 0 w 1162680"/>
            <a:gd name="connsiteY4" fmla="*/ 0 h 1963759"/>
            <a:gd name="connsiteX0" fmla="*/ 0 w 1152102"/>
            <a:gd name="connsiteY0" fmla="*/ 0 h 1960086"/>
            <a:gd name="connsiteX1" fmla="*/ 1152102 w 1152102"/>
            <a:gd name="connsiteY1" fmla="*/ 1051366 h 1960086"/>
            <a:gd name="connsiteX2" fmla="*/ 1147886 w 1152102"/>
            <a:gd name="connsiteY2" fmla="*/ 1960086 h 1960086"/>
            <a:gd name="connsiteX3" fmla="*/ 0 w 1152102"/>
            <a:gd name="connsiteY3" fmla="*/ 914400 h 1960086"/>
            <a:gd name="connsiteX4" fmla="*/ 0 w 1152102"/>
            <a:gd name="connsiteY4" fmla="*/ 0 h 1960086"/>
            <a:gd name="connsiteX0" fmla="*/ 0 w 1157835"/>
            <a:gd name="connsiteY0" fmla="*/ 0 h 2240999"/>
            <a:gd name="connsiteX1" fmla="*/ 1157835 w 1157835"/>
            <a:gd name="connsiteY1" fmla="*/ 1332279 h 2240999"/>
            <a:gd name="connsiteX2" fmla="*/ 1153619 w 1157835"/>
            <a:gd name="connsiteY2" fmla="*/ 2240999 h 2240999"/>
            <a:gd name="connsiteX3" fmla="*/ 5733 w 1157835"/>
            <a:gd name="connsiteY3" fmla="*/ 1195313 h 2240999"/>
            <a:gd name="connsiteX4" fmla="*/ 0 w 1157835"/>
            <a:gd name="connsiteY4" fmla="*/ 0 h 2240999"/>
            <a:gd name="connsiteX0" fmla="*/ 0 w 1157835"/>
            <a:gd name="connsiteY0" fmla="*/ 0 h 2240999"/>
            <a:gd name="connsiteX1" fmla="*/ 1157835 w 1157835"/>
            <a:gd name="connsiteY1" fmla="*/ 1332279 h 2240999"/>
            <a:gd name="connsiteX2" fmla="*/ 1153619 w 1157835"/>
            <a:gd name="connsiteY2" fmla="*/ 2240999 h 2240999"/>
            <a:gd name="connsiteX3" fmla="*/ 20066 w 1157835"/>
            <a:gd name="connsiteY3" fmla="*/ 1476226 h 2240999"/>
            <a:gd name="connsiteX4" fmla="*/ 0 w 1157835"/>
            <a:gd name="connsiteY4" fmla="*/ 0 h 2240999"/>
            <a:gd name="connsiteX0" fmla="*/ 0 w 1157835"/>
            <a:gd name="connsiteY0" fmla="*/ 0 h 2240999"/>
            <a:gd name="connsiteX1" fmla="*/ 1157835 w 1157835"/>
            <a:gd name="connsiteY1" fmla="*/ 1332279 h 2240999"/>
            <a:gd name="connsiteX2" fmla="*/ 1153619 w 1157835"/>
            <a:gd name="connsiteY2" fmla="*/ 2240999 h 2240999"/>
            <a:gd name="connsiteX3" fmla="*/ 11466 w 1157835"/>
            <a:gd name="connsiteY3" fmla="*/ 1479092 h 2240999"/>
            <a:gd name="connsiteX4" fmla="*/ 0 w 1157835"/>
            <a:gd name="connsiteY4" fmla="*/ 0 h 2240999"/>
            <a:gd name="connsiteX0" fmla="*/ 0 w 1157835"/>
            <a:gd name="connsiteY0" fmla="*/ 0 h 2752935"/>
            <a:gd name="connsiteX1" fmla="*/ 1157835 w 1157835"/>
            <a:gd name="connsiteY1" fmla="*/ 1332279 h 2752935"/>
            <a:gd name="connsiteX2" fmla="*/ 1149290 w 1157835"/>
            <a:gd name="connsiteY2" fmla="*/ 2752935 h 2752935"/>
            <a:gd name="connsiteX3" fmla="*/ 11466 w 1157835"/>
            <a:gd name="connsiteY3" fmla="*/ 1479092 h 2752935"/>
            <a:gd name="connsiteX4" fmla="*/ 0 w 1157835"/>
            <a:gd name="connsiteY4" fmla="*/ 0 h 2752935"/>
            <a:gd name="connsiteX0" fmla="*/ 0 w 1149683"/>
            <a:gd name="connsiteY0" fmla="*/ 0 h 2752935"/>
            <a:gd name="connsiteX1" fmla="*/ 1149177 w 1149683"/>
            <a:gd name="connsiteY1" fmla="*/ 1844214 h 2752935"/>
            <a:gd name="connsiteX2" fmla="*/ 1149290 w 1149683"/>
            <a:gd name="connsiteY2" fmla="*/ 2752935 h 2752935"/>
            <a:gd name="connsiteX3" fmla="*/ 11466 w 1149683"/>
            <a:gd name="connsiteY3" fmla="*/ 1479092 h 2752935"/>
            <a:gd name="connsiteX4" fmla="*/ 0 w 1149683"/>
            <a:gd name="connsiteY4" fmla="*/ 0 h 27529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49683" h="2752935">
              <a:moveTo>
                <a:pt x="0" y="0"/>
              </a:moveTo>
              <a:lnTo>
                <a:pt x="1149177" y="1844214"/>
              </a:lnTo>
              <a:cubicBezTo>
                <a:pt x="1147772" y="2493845"/>
                <a:pt x="1150695" y="2103304"/>
                <a:pt x="1149290" y="2752935"/>
              </a:cubicBezTo>
              <a:lnTo>
                <a:pt x="11466" y="1479092"/>
              </a:lnTo>
              <a:lnTo>
                <a:pt x="0" y="0"/>
              </a:lnTo>
              <a:close/>
            </a:path>
          </a:pathLst>
        </a:custGeom>
        <a:solidFill>
          <a:schemeClr val="accent6">
            <a:alpha val="69804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endParaRPr lang="nl-NL"/>
        </a:p>
      </xdr:txBody>
    </xdr:sp>
    <xdr:clientData/>
  </xdr:twoCellAnchor>
  <xdr:twoCellAnchor>
    <xdr:from>
      <xdr:col>2</xdr:col>
      <xdr:colOff>676508</xdr:colOff>
      <xdr:row>11</xdr:row>
      <xdr:rowOff>152941</xdr:rowOff>
    </xdr:from>
    <xdr:to>
      <xdr:col>2</xdr:col>
      <xdr:colOff>1239432</xdr:colOff>
      <xdr:row>24</xdr:row>
      <xdr:rowOff>94016</xdr:rowOff>
    </xdr:to>
    <xdr:sp macro="" textlink="">
      <xdr:nvSpPr>
        <xdr:cNvPr id="29" name="Rectangle 1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2674641" y="2303474"/>
          <a:ext cx="562924" cy="2362542"/>
        </a:xfrm>
        <a:custGeom>
          <a:avLst/>
          <a:gdLst>
            <a:gd name="connsiteX0" fmla="*/ 0 w 1133198"/>
            <a:gd name="connsiteY0" fmla="*/ 0 h 1517679"/>
            <a:gd name="connsiteX1" fmla="*/ 1133198 w 1133198"/>
            <a:gd name="connsiteY1" fmla="*/ 0 h 1517679"/>
            <a:gd name="connsiteX2" fmla="*/ 1133198 w 1133198"/>
            <a:gd name="connsiteY2" fmla="*/ 1517679 h 1517679"/>
            <a:gd name="connsiteX3" fmla="*/ 0 w 1133198"/>
            <a:gd name="connsiteY3" fmla="*/ 1517679 h 1517679"/>
            <a:gd name="connsiteX4" fmla="*/ 0 w 1133198"/>
            <a:gd name="connsiteY4" fmla="*/ 0 h 1517679"/>
            <a:gd name="connsiteX0" fmla="*/ 0 w 1142119"/>
            <a:gd name="connsiteY0" fmla="*/ 740441 h 2258120"/>
            <a:gd name="connsiteX1" fmla="*/ 1142119 w 1142119"/>
            <a:gd name="connsiteY1" fmla="*/ 0 h 2258120"/>
            <a:gd name="connsiteX2" fmla="*/ 1133198 w 1142119"/>
            <a:gd name="connsiteY2" fmla="*/ 2258120 h 2258120"/>
            <a:gd name="connsiteX3" fmla="*/ 0 w 1142119"/>
            <a:gd name="connsiteY3" fmla="*/ 2258120 h 2258120"/>
            <a:gd name="connsiteX4" fmla="*/ 0 w 1142119"/>
            <a:gd name="connsiteY4" fmla="*/ 740441 h 2258120"/>
            <a:gd name="connsiteX0" fmla="*/ 0 w 1147120"/>
            <a:gd name="connsiteY0" fmla="*/ 740441 h 2258120"/>
            <a:gd name="connsiteX1" fmla="*/ 1142119 w 1147120"/>
            <a:gd name="connsiteY1" fmla="*/ 0 h 2258120"/>
            <a:gd name="connsiteX2" fmla="*/ 1146580 w 1147120"/>
            <a:gd name="connsiteY2" fmla="*/ 1479765 h 2258120"/>
            <a:gd name="connsiteX3" fmla="*/ 0 w 1147120"/>
            <a:gd name="connsiteY3" fmla="*/ 2258120 h 2258120"/>
            <a:gd name="connsiteX4" fmla="*/ 0 w 1147120"/>
            <a:gd name="connsiteY4" fmla="*/ 740441 h 2258120"/>
            <a:gd name="connsiteX0" fmla="*/ 0 w 1147120"/>
            <a:gd name="connsiteY0" fmla="*/ 850508 h 2258120"/>
            <a:gd name="connsiteX1" fmla="*/ 1142119 w 1147120"/>
            <a:gd name="connsiteY1" fmla="*/ 0 h 2258120"/>
            <a:gd name="connsiteX2" fmla="*/ 1146580 w 1147120"/>
            <a:gd name="connsiteY2" fmla="*/ 1479765 h 2258120"/>
            <a:gd name="connsiteX3" fmla="*/ 0 w 1147120"/>
            <a:gd name="connsiteY3" fmla="*/ 2258120 h 2258120"/>
            <a:gd name="connsiteX4" fmla="*/ 0 w 1147120"/>
            <a:gd name="connsiteY4" fmla="*/ 850508 h 2258120"/>
            <a:gd name="connsiteX0" fmla="*/ 0 w 1147120"/>
            <a:gd name="connsiteY0" fmla="*/ 850508 h 2362542"/>
            <a:gd name="connsiteX1" fmla="*/ 1142119 w 1147120"/>
            <a:gd name="connsiteY1" fmla="*/ 0 h 2362542"/>
            <a:gd name="connsiteX2" fmla="*/ 1146580 w 1147120"/>
            <a:gd name="connsiteY2" fmla="*/ 1479765 h 2362542"/>
            <a:gd name="connsiteX3" fmla="*/ 17252 w 1147120"/>
            <a:gd name="connsiteY3" fmla="*/ 2362542 h 2362542"/>
            <a:gd name="connsiteX4" fmla="*/ 0 w 1147120"/>
            <a:gd name="connsiteY4" fmla="*/ 850508 h 236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47120" h="2362542">
              <a:moveTo>
                <a:pt x="0" y="850508"/>
              </a:moveTo>
              <a:lnTo>
                <a:pt x="1142119" y="0"/>
              </a:lnTo>
              <a:cubicBezTo>
                <a:pt x="1139145" y="752707"/>
                <a:pt x="1149554" y="727058"/>
                <a:pt x="1146580" y="1479765"/>
              </a:cubicBezTo>
              <a:lnTo>
                <a:pt x="17252" y="2362542"/>
              </a:lnTo>
              <a:lnTo>
                <a:pt x="0" y="850508"/>
              </a:lnTo>
              <a:close/>
            </a:path>
          </a:pathLst>
        </a:custGeom>
        <a:solidFill>
          <a:srgbClr val="406280">
            <a:alpha val="6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endParaRPr lang="nl-NL"/>
        </a:p>
      </xdr:txBody>
    </xdr:sp>
    <xdr:clientData/>
  </xdr:twoCellAnchor>
  <xdr:twoCellAnchor>
    <xdr:from>
      <xdr:col>2</xdr:col>
      <xdr:colOff>679330</xdr:colOff>
      <xdr:row>5</xdr:row>
      <xdr:rowOff>135968</xdr:rowOff>
    </xdr:from>
    <xdr:to>
      <xdr:col>2</xdr:col>
      <xdr:colOff>1246776</xdr:colOff>
      <xdr:row>19</xdr:row>
      <xdr:rowOff>142572</xdr:rowOff>
    </xdr:to>
    <xdr:sp macro="" textlink="">
      <xdr:nvSpPr>
        <xdr:cNvPr id="30" name="Rectangle 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677463" y="1168901"/>
          <a:ext cx="567446" cy="2614338"/>
        </a:xfrm>
        <a:custGeom>
          <a:avLst/>
          <a:gdLst>
            <a:gd name="connsiteX0" fmla="*/ 0 w 1133198"/>
            <a:gd name="connsiteY0" fmla="*/ 0 h 1517679"/>
            <a:gd name="connsiteX1" fmla="*/ 1133198 w 1133198"/>
            <a:gd name="connsiteY1" fmla="*/ 0 h 1517679"/>
            <a:gd name="connsiteX2" fmla="*/ 1133198 w 1133198"/>
            <a:gd name="connsiteY2" fmla="*/ 1517679 h 1517679"/>
            <a:gd name="connsiteX3" fmla="*/ 0 w 1133198"/>
            <a:gd name="connsiteY3" fmla="*/ 1517679 h 1517679"/>
            <a:gd name="connsiteX4" fmla="*/ 0 w 1133198"/>
            <a:gd name="connsiteY4" fmla="*/ 0 h 1517679"/>
            <a:gd name="connsiteX0" fmla="*/ 0 w 1142119"/>
            <a:gd name="connsiteY0" fmla="*/ 740441 h 2258120"/>
            <a:gd name="connsiteX1" fmla="*/ 1142119 w 1142119"/>
            <a:gd name="connsiteY1" fmla="*/ 0 h 2258120"/>
            <a:gd name="connsiteX2" fmla="*/ 1133198 w 1142119"/>
            <a:gd name="connsiteY2" fmla="*/ 2258120 h 2258120"/>
            <a:gd name="connsiteX3" fmla="*/ 0 w 1142119"/>
            <a:gd name="connsiteY3" fmla="*/ 2258120 h 2258120"/>
            <a:gd name="connsiteX4" fmla="*/ 0 w 1142119"/>
            <a:gd name="connsiteY4" fmla="*/ 740441 h 2258120"/>
            <a:gd name="connsiteX0" fmla="*/ 0 w 1147120"/>
            <a:gd name="connsiteY0" fmla="*/ 740441 h 2258120"/>
            <a:gd name="connsiteX1" fmla="*/ 1142119 w 1147120"/>
            <a:gd name="connsiteY1" fmla="*/ 0 h 2258120"/>
            <a:gd name="connsiteX2" fmla="*/ 1146580 w 1147120"/>
            <a:gd name="connsiteY2" fmla="*/ 1479765 h 2258120"/>
            <a:gd name="connsiteX3" fmla="*/ 0 w 1147120"/>
            <a:gd name="connsiteY3" fmla="*/ 2258120 h 2258120"/>
            <a:gd name="connsiteX4" fmla="*/ 0 w 1147120"/>
            <a:gd name="connsiteY4" fmla="*/ 740441 h 2258120"/>
            <a:gd name="connsiteX0" fmla="*/ 0 w 1147120"/>
            <a:gd name="connsiteY0" fmla="*/ 0 h 3483004"/>
            <a:gd name="connsiteX1" fmla="*/ 1142119 w 1147120"/>
            <a:gd name="connsiteY1" fmla="*/ 1224884 h 3483004"/>
            <a:gd name="connsiteX2" fmla="*/ 1146580 w 1147120"/>
            <a:gd name="connsiteY2" fmla="*/ 2704649 h 3483004"/>
            <a:gd name="connsiteX3" fmla="*/ 0 w 1147120"/>
            <a:gd name="connsiteY3" fmla="*/ 3483004 h 3483004"/>
            <a:gd name="connsiteX4" fmla="*/ 0 w 1147120"/>
            <a:gd name="connsiteY4" fmla="*/ 0 h 3483004"/>
            <a:gd name="connsiteX0" fmla="*/ 0 w 1147120"/>
            <a:gd name="connsiteY0" fmla="*/ 0 h 2704649"/>
            <a:gd name="connsiteX1" fmla="*/ 1142119 w 1147120"/>
            <a:gd name="connsiteY1" fmla="*/ 1224884 h 2704649"/>
            <a:gd name="connsiteX2" fmla="*/ 1146580 w 1147120"/>
            <a:gd name="connsiteY2" fmla="*/ 2704649 h 2704649"/>
            <a:gd name="connsiteX3" fmla="*/ 6350 w 1147120"/>
            <a:gd name="connsiteY3" fmla="*/ 1511329 h 2704649"/>
            <a:gd name="connsiteX4" fmla="*/ 0 w 1147120"/>
            <a:gd name="connsiteY4" fmla="*/ 0 h 2704649"/>
            <a:gd name="connsiteX0" fmla="*/ 0 w 1147120"/>
            <a:gd name="connsiteY0" fmla="*/ 0 h 2704649"/>
            <a:gd name="connsiteX1" fmla="*/ 1142119 w 1147120"/>
            <a:gd name="connsiteY1" fmla="*/ 1224884 h 2704649"/>
            <a:gd name="connsiteX2" fmla="*/ 1146580 w 1147120"/>
            <a:gd name="connsiteY2" fmla="*/ 2704649 h 2704649"/>
            <a:gd name="connsiteX3" fmla="*/ 17704 w 1147120"/>
            <a:gd name="connsiteY3" fmla="*/ 1604462 h 2704649"/>
            <a:gd name="connsiteX4" fmla="*/ 0 w 1147120"/>
            <a:gd name="connsiteY4" fmla="*/ 0 h 2704649"/>
            <a:gd name="connsiteX0" fmla="*/ 0 w 1141443"/>
            <a:gd name="connsiteY0" fmla="*/ 0 h 2614338"/>
            <a:gd name="connsiteX1" fmla="*/ 1136442 w 1141443"/>
            <a:gd name="connsiteY1" fmla="*/ 1134573 h 2614338"/>
            <a:gd name="connsiteX2" fmla="*/ 1140903 w 1141443"/>
            <a:gd name="connsiteY2" fmla="*/ 2614338 h 2614338"/>
            <a:gd name="connsiteX3" fmla="*/ 12027 w 1141443"/>
            <a:gd name="connsiteY3" fmla="*/ 1514151 h 2614338"/>
            <a:gd name="connsiteX4" fmla="*/ 0 w 1141443"/>
            <a:gd name="connsiteY4" fmla="*/ 0 h 2614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41443" h="2614338">
              <a:moveTo>
                <a:pt x="0" y="0"/>
              </a:moveTo>
              <a:lnTo>
                <a:pt x="1136442" y="1134573"/>
              </a:lnTo>
              <a:cubicBezTo>
                <a:pt x="1133468" y="1887280"/>
                <a:pt x="1143877" y="1861631"/>
                <a:pt x="1140903" y="2614338"/>
              </a:cubicBezTo>
              <a:lnTo>
                <a:pt x="12027" y="1514151"/>
              </a:lnTo>
              <a:cubicBezTo>
                <a:pt x="9910" y="1010375"/>
                <a:pt x="2117" y="503776"/>
                <a:pt x="0" y="0"/>
              </a:cubicBezTo>
              <a:close/>
            </a:path>
          </a:pathLst>
        </a:custGeom>
        <a:solidFill>
          <a:srgbClr val="406280">
            <a:alpha val="6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endParaRPr lang="nl-NL"/>
        </a:p>
      </xdr:txBody>
    </xdr:sp>
    <xdr:clientData/>
  </xdr:twoCellAnchor>
  <xdr:twoCellAnchor>
    <xdr:from>
      <xdr:col>2</xdr:col>
      <xdr:colOff>3989977</xdr:colOff>
      <xdr:row>8</xdr:row>
      <xdr:rowOff>122371</xdr:rowOff>
    </xdr:from>
    <xdr:to>
      <xdr:col>4</xdr:col>
      <xdr:colOff>137097</xdr:colOff>
      <xdr:row>10</xdr:row>
      <xdr:rowOff>113630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5988110" y="1714104"/>
          <a:ext cx="1337187" cy="3637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spcBef>
              <a:spcPts val="600"/>
            </a:spcBef>
          </a:pPr>
          <a:r>
            <a:rPr lang="nl-NL" sz="1400">
              <a:solidFill>
                <a:schemeClr val="accent5">
                  <a:lumMod val="50000"/>
                </a:schemeClr>
              </a:solidFill>
            </a:rPr>
            <a:t>Production stage</a:t>
          </a:r>
        </a:p>
      </xdr:txBody>
    </xdr:sp>
    <xdr:clientData/>
  </xdr:twoCellAnchor>
  <xdr:twoCellAnchor>
    <xdr:from>
      <xdr:col>3</xdr:col>
      <xdr:colOff>332650</xdr:colOff>
      <xdr:row>14</xdr:row>
      <xdr:rowOff>152687</xdr:rowOff>
    </xdr:from>
    <xdr:to>
      <xdr:col>4</xdr:col>
      <xdr:colOff>137097</xdr:colOff>
      <xdr:row>16</xdr:row>
      <xdr:rowOff>143946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6538717" y="2862020"/>
          <a:ext cx="786580" cy="3637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spcBef>
              <a:spcPts val="600"/>
            </a:spcBef>
          </a:pPr>
          <a:r>
            <a:rPr lang="nl-NL" sz="1400">
              <a:solidFill>
                <a:schemeClr val="tx2">
                  <a:lumMod val="50000"/>
                </a:schemeClr>
              </a:solidFill>
            </a:rPr>
            <a:t>Use stage</a:t>
          </a:r>
        </a:p>
      </xdr:txBody>
    </xdr:sp>
    <xdr:clientData/>
  </xdr:twoCellAnchor>
  <xdr:twoCellAnchor>
    <xdr:from>
      <xdr:col>2</xdr:col>
      <xdr:colOff>4090617</xdr:colOff>
      <xdr:row>19</xdr:row>
      <xdr:rowOff>155696</xdr:rowOff>
    </xdr:from>
    <xdr:to>
      <xdr:col>3</xdr:col>
      <xdr:colOff>865909</xdr:colOff>
      <xdr:row>21</xdr:row>
      <xdr:rowOff>146956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6088750" y="3796363"/>
          <a:ext cx="983226" cy="3637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>
            <a:spcBef>
              <a:spcPts val="600"/>
            </a:spcBef>
          </a:pPr>
          <a:r>
            <a:rPr lang="nl-NL" sz="1400">
              <a:solidFill>
                <a:schemeClr val="accent6">
                  <a:lumMod val="50000"/>
                </a:schemeClr>
              </a:solidFill>
            </a:rPr>
            <a:t>End-of-life stage</a:t>
          </a:r>
        </a:p>
      </xdr:txBody>
    </xdr:sp>
    <xdr:clientData/>
  </xdr:twoCellAnchor>
  <xdr:twoCellAnchor>
    <xdr:from>
      <xdr:col>4</xdr:col>
      <xdr:colOff>137097</xdr:colOff>
      <xdr:row>21</xdr:row>
      <xdr:rowOff>127012</xdr:rowOff>
    </xdr:from>
    <xdr:to>
      <xdr:col>5</xdr:col>
      <xdr:colOff>281576</xdr:colOff>
      <xdr:row>26</xdr:row>
      <xdr:rowOff>110079</xdr:rowOff>
    </xdr:to>
    <xdr:sp macro="" textlink="">
      <xdr:nvSpPr>
        <xdr:cNvPr id="34" name="Arrow: Pentagon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7325297" y="4140212"/>
          <a:ext cx="4454012" cy="914400"/>
        </a:xfrm>
        <a:prstGeom prst="homePlate">
          <a:avLst/>
        </a:prstGeom>
        <a:solidFill>
          <a:schemeClr val="accent6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nl-NL"/>
            <a:t>Value proposition 3 </a:t>
          </a:r>
        </a:p>
        <a:p>
          <a:pPr>
            <a:spcBef>
              <a:spcPts val="600"/>
            </a:spcBef>
          </a:pPr>
          <a:r>
            <a:rPr lang="nl-NL" b="1"/>
            <a:t>Improved recycling opportunities</a:t>
          </a:r>
        </a:p>
      </xdr:txBody>
    </xdr:sp>
    <xdr:clientData/>
  </xdr:twoCellAnchor>
  <xdr:twoCellAnchor>
    <xdr:from>
      <xdr:col>4</xdr:col>
      <xdr:colOff>146931</xdr:colOff>
      <xdr:row>13</xdr:row>
      <xdr:rowOff>63649</xdr:rowOff>
    </xdr:from>
    <xdr:to>
      <xdr:col>5</xdr:col>
      <xdr:colOff>291410</xdr:colOff>
      <xdr:row>18</xdr:row>
      <xdr:rowOff>46716</xdr:rowOff>
    </xdr:to>
    <xdr:sp macro="" textlink="">
      <xdr:nvSpPr>
        <xdr:cNvPr id="35" name="Arrow: Pentagon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335131" y="2586716"/>
          <a:ext cx="4454012" cy="914400"/>
        </a:xfrm>
        <a:prstGeom prst="homePlate">
          <a:avLst/>
        </a:prstGeom>
        <a:solidFill>
          <a:schemeClr val="tx2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nl-NL"/>
            <a:t>Value proposition 2</a:t>
          </a:r>
        </a:p>
        <a:p>
          <a:pPr>
            <a:spcBef>
              <a:spcPts val="600"/>
            </a:spcBef>
          </a:pPr>
          <a:r>
            <a:rPr lang="en-US" b="1"/>
            <a:t>Improved repair and refurbishment</a:t>
          </a:r>
          <a:endParaRPr lang="nl-NL" b="1"/>
        </a:p>
      </xdr:txBody>
    </xdr:sp>
    <xdr:clientData/>
  </xdr:twoCellAnchor>
  <xdr:twoCellAnchor>
    <xdr:from>
      <xdr:col>4</xdr:col>
      <xdr:colOff>146931</xdr:colOff>
      <xdr:row>5</xdr:row>
      <xdr:rowOff>286</xdr:rowOff>
    </xdr:from>
    <xdr:to>
      <xdr:col>5</xdr:col>
      <xdr:colOff>291410</xdr:colOff>
      <xdr:row>9</xdr:row>
      <xdr:rowOff>169619</xdr:rowOff>
    </xdr:to>
    <xdr:sp macro="" textlink="">
      <xdr:nvSpPr>
        <xdr:cNvPr id="36" name="Arrow: Pentagon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7335131" y="1033219"/>
          <a:ext cx="4454012" cy="914400"/>
        </a:xfrm>
        <a:prstGeom prst="homePlate">
          <a:avLst/>
        </a:prstGeom>
        <a:solidFill>
          <a:schemeClr val="accent5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nl-NL"/>
            <a:t>Value proposition 1</a:t>
          </a:r>
        </a:p>
        <a:p>
          <a:pPr>
            <a:spcBef>
              <a:spcPts val="600"/>
            </a:spcBef>
          </a:pPr>
          <a:r>
            <a:rPr lang="nl-NL" b="1"/>
            <a:t>Optimizing production processes</a:t>
          </a:r>
        </a:p>
      </xdr:txBody>
    </xdr:sp>
    <xdr:clientData/>
  </xdr:twoCellAnchor>
  <xdr:twoCellAnchor>
    <xdr:from>
      <xdr:col>1</xdr:col>
      <xdr:colOff>0</xdr:colOff>
      <xdr:row>5</xdr:row>
      <xdr:rowOff>136884</xdr:rowOff>
    </xdr:from>
    <xdr:to>
      <xdr:col>2</xdr:col>
      <xdr:colOff>687165</xdr:colOff>
      <xdr:row>13</xdr:row>
      <xdr:rowOff>164430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389467" y="1169817"/>
          <a:ext cx="2295831" cy="1517680"/>
        </a:xfrm>
        <a:prstGeom prst="rect">
          <a:avLst/>
        </a:prstGeom>
        <a:solidFill>
          <a:srgbClr val="4062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r>
            <a:rPr lang="nl-NL" b="1"/>
            <a:t>Adhesive benefits</a:t>
          </a:r>
        </a:p>
      </xdr:txBody>
    </xdr:sp>
    <xdr:clientData/>
  </xdr:twoCellAnchor>
  <xdr:twoCellAnchor>
    <xdr:from>
      <xdr:col>1</xdr:col>
      <xdr:colOff>0</xdr:colOff>
      <xdr:row>16</xdr:row>
      <xdr:rowOff>62830</xdr:rowOff>
    </xdr:from>
    <xdr:to>
      <xdr:col>2</xdr:col>
      <xdr:colOff>687165</xdr:colOff>
      <xdr:row>24</xdr:row>
      <xdr:rowOff>90377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389467" y="3144697"/>
          <a:ext cx="2295831" cy="1517680"/>
        </a:xfrm>
        <a:prstGeom prst="rect">
          <a:avLst/>
        </a:prstGeom>
        <a:solidFill>
          <a:srgbClr val="40628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r>
            <a:rPr lang="nl-NL" b="1"/>
            <a:t>Benefits of disassembly</a:t>
          </a:r>
        </a:p>
      </xdr:txBody>
    </xdr:sp>
    <xdr:clientData/>
  </xdr:twoCellAnchor>
  <xdr:twoCellAnchor>
    <xdr:from>
      <xdr:col>1</xdr:col>
      <xdr:colOff>149941</xdr:colOff>
      <xdr:row>8</xdr:row>
      <xdr:rowOff>48629</xdr:rowOff>
    </xdr:from>
    <xdr:to>
      <xdr:col>2</xdr:col>
      <xdr:colOff>537223</xdr:colOff>
      <xdr:row>10</xdr:row>
      <xdr:rowOff>32515</xdr:rowOff>
    </xdr:to>
    <xdr:sp macro="" textlink="">
      <xdr:nvSpPr>
        <xdr:cNvPr id="39" name="Flowchart: Alternate Process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539408" y="1640362"/>
          <a:ext cx="1995948" cy="356420"/>
        </a:xfrm>
        <a:prstGeom prst="flowChartAlternateProcess">
          <a:avLst/>
        </a:prstGeom>
        <a:solidFill>
          <a:srgbClr val="BFCBD5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r>
            <a:rPr lang="nl-NL" sz="1400">
              <a:solidFill>
                <a:schemeClr val="accent1"/>
              </a:solidFill>
            </a:rPr>
            <a:t>Process benefits</a:t>
          </a:r>
        </a:p>
      </xdr:txBody>
    </xdr:sp>
    <xdr:clientData/>
  </xdr:twoCellAnchor>
  <xdr:twoCellAnchor>
    <xdr:from>
      <xdr:col>1</xdr:col>
      <xdr:colOff>149941</xdr:colOff>
      <xdr:row>11</xdr:row>
      <xdr:rowOff>13396</xdr:rowOff>
    </xdr:from>
    <xdr:to>
      <xdr:col>2</xdr:col>
      <xdr:colOff>537223</xdr:colOff>
      <xdr:row>12</xdr:row>
      <xdr:rowOff>183549</xdr:rowOff>
    </xdr:to>
    <xdr:sp macro="" textlink="">
      <xdr:nvSpPr>
        <xdr:cNvPr id="40" name="Flowchart: Alternate Process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539408" y="2163929"/>
          <a:ext cx="1995948" cy="356420"/>
        </a:xfrm>
        <a:prstGeom prst="flowChartAlternateProcess">
          <a:avLst/>
        </a:prstGeom>
        <a:solidFill>
          <a:srgbClr val="BFCBD5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B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600"/>
            </a:spcBef>
          </a:pPr>
          <a:r>
            <a:rPr lang="nl-NL" sz="1400">
              <a:solidFill>
                <a:schemeClr val="accent1"/>
              </a:solidFill>
            </a:rPr>
            <a:t>Functional benefits</a:t>
          </a:r>
        </a:p>
      </xdr:txBody>
    </xdr:sp>
    <xdr:clientData/>
  </xdr:twoCellAnchor>
  <xdr:twoCellAnchor editAs="oneCell">
    <xdr:from>
      <xdr:col>4</xdr:col>
      <xdr:colOff>3673461</xdr:colOff>
      <xdr:row>21</xdr:row>
      <xdr:rowOff>146956</xdr:rowOff>
    </xdr:from>
    <xdr:to>
      <xdr:col>4</xdr:col>
      <xdr:colOff>4189855</xdr:colOff>
      <xdr:row>24</xdr:row>
      <xdr:rowOff>105867</xdr:rowOff>
    </xdr:to>
    <xdr:pic>
      <xdr:nvPicPr>
        <xdr:cNvPr id="41" name="Graphic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rcRect b="27506"/>
        <a:stretch/>
      </xdr:blipFill>
      <xdr:spPr>
        <a:xfrm>
          <a:off x="10861661" y="4160156"/>
          <a:ext cx="554494" cy="502471"/>
        </a:xfrm>
        <a:prstGeom prst="rect">
          <a:avLst/>
        </a:prstGeom>
      </xdr:spPr>
    </xdr:pic>
    <xdr:clientData/>
  </xdr:twoCellAnchor>
  <xdr:twoCellAnchor editAs="oneCell">
    <xdr:from>
      <xdr:col>4</xdr:col>
      <xdr:colOff>3744646</xdr:colOff>
      <xdr:row>13</xdr:row>
      <xdr:rowOff>150843</xdr:rowOff>
    </xdr:from>
    <xdr:to>
      <xdr:col>4</xdr:col>
      <xdr:colOff>4156770</xdr:colOff>
      <xdr:row>16</xdr:row>
      <xdr:rowOff>111008</xdr:rowOff>
    </xdr:to>
    <xdr:pic>
      <xdr:nvPicPr>
        <xdr:cNvPr id="42" name="Graphic 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932846" y="2673910"/>
          <a:ext cx="412124" cy="515155"/>
        </a:xfrm>
        <a:prstGeom prst="rect">
          <a:avLst/>
        </a:prstGeom>
      </xdr:spPr>
    </xdr:pic>
    <xdr:clientData/>
  </xdr:twoCellAnchor>
  <xdr:twoCellAnchor editAs="oneCell">
    <xdr:from>
      <xdr:col>4</xdr:col>
      <xdr:colOff>3702068</xdr:colOff>
      <xdr:row>5</xdr:row>
      <xdr:rowOff>44213</xdr:rowOff>
    </xdr:from>
    <xdr:to>
      <xdr:col>4</xdr:col>
      <xdr:colOff>4189824</xdr:colOff>
      <xdr:row>8</xdr:row>
      <xdr:rowOff>29905</xdr:rowOff>
    </xdr:to>
    <xdr:pic>
      <xdr:nvPicPr>
        <xdr:cNvPr id="43" name="Graphic 2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 b="14550"/>
        <a:stretch/>
      </xdr:blipFill>
      <xdr:spPr>
        <a:xfrm>
          <a:off x="10890268" y="1077146"/>
          <a:ext cx="497281" cy="5311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87313</xdr:rowOff>
    </xdr:from>
    <xdr:to>
      <xdr:col>1</xdr:col>
      <xdr:colOff>1214450</xdr:colOff>
      <xdr:row>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13"/>
          <a:ext cx="1587830" cy="585364"/>
        </a:xfrm>
        <a:prstGeom prst="rect">
          <a:avLst/>
        </a:prstGeom>
      </xdr:spPr>
    </xdr:pic>
    <xdr:clientData/>
  </xdr:twoCellAnchor>
  <xdr:twoCellAnchor editAs="oneCell">
    <xdr:from>
      <xdr:col>8</xdr:col>
      <xdr:colOff>315577</xdr:colOff>
      <xdr:row>0</xdr:row>
      <xdr:rowOff>77162</xdr:rowOff>
    </xdr:from>
    <xdr:to>
      <xdr:col>9</xdr:col>
      <xdr:colOff>685801</xdr:colOff>
      <xdr:row>2</xdr:row>
      <xdr:rowOff>117974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4977" y="77162"/>
          <a:ext cx="2012757" cy="607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87313</xdr:rowOff>
    </xdr:from>
    <xdr:to>
      <xdr:col>1</xdr:col>
      <xdr:colOff>1203020</xdr:colOff>
      <xdr:row>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13"/>
          <a:ext cx="1591640" cy="585364"/>
        </a:xfrm>
        <a:prstGeom prst="rect">
          <a:avLst/>
        </a:prstGeom>
      </xdr:spPr>
    </xdr:pic>
    <xdr:clientData/>
  </xdr:twoCellAnchor>
  <xdr:twoCellAnchor editAs="oneCell">
    <xdr:from>
      <xdr:col>11</xdr:col>
      <xdr:colOff>401012</xdr:colOff>
      <xdr:row>0</xdr:row>
      <xdr:rowOff>116417</xdr:rowOff>
    </xdr:from>
    <xdr:to>
      <xdr:col>14</xdr:col>
      <xdr:colOff>499533</xdr:colOff>
      <xdr:row>2</xdr:row>
      <xdr:rowOff>171007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172" y="116417"/>
          <a:ext cx="1973041" cy="610850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9</xdr:row>
      <xdr:rowOff>16932</xdr:rowOff>
    </xdr:from>
    <xdr:to>
      <xdr:col>13</xdr:col>
      <xdr:colOff>474133</xdr:colOff>
      <xdr:row>30</xdr:row>
      <xdr:rowOff>160866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651F384-E57C-7D8A-675E-08D2B736D1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4" name="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>
              <a:spLocks noTextEdit="1"/>
            </xdr:cNvSpPr>
          </xdr:nvSpPr>
          <xdr:spPr>
            <a:xfrm>
              <a:off x="426719" y="1784772"/>
              <a:ext cx="12132734" cy="39844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BE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</xdr:col>
      <xdr:colOff>25400</xdr:colOff>
      <xdr:row>38</xdr:row>
      <xdr:rowOff>160866</xdr:rowOff>
    </xdr:from>
    <xdr:to>
      <xdr:col>13</xdr:col>
      <xdr:colOff>524933</xdr:colOff>
      <xdr:row>65</xdr:row>
      <xdr:rowOff>84666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13</xdr:col>
      <xdr:colOff>476250</xdr:colOff>
      <xdr:row>93</xdr:row>
      <xdr:rowOff>169334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1</xdr:col>
      <xdr:colOff>1135897</xdr:colOff>
      <xdr:row>2</xdr:row>
      <xdr:rowOff>179069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0"/>
          <a:ext cx="1469272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1583332</xdr:colOff>
      <xdr:row>0</xdr:row>
      <xdr:rowOff>52043</xdr:rowOff>
    </xdr:from>
    <xdr:to>
      <xdr:col>8</xdr:col>
      <xdr:colOff>0</xdr:colOff>
      <xdr:row>3</xdr:row>
      <xdr:rowOff>45189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712" y="52043"/>
          <a:ext cx="1754228" cy="593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87313</xdr:rowOff>
    </xdr:from>
    <xdr:to>
      <xdr:col>1</xdr:col>
      <xdr:colOff>1203020</xdr:colOff>
      <xdr:row>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13"/>
          <a:ext cx="1597990" cy="581554"/>
        </a:xfrm>
        <a:prstGeom prst="rect">
          <a:avLst/>
        </a:prstGeom>
      </xdr:spPr>
    </xdr:pic>
    <xdr:clientData/>
  </xdr:twoCellAnchor>
  <xdr:twoCellAnchor editAs="oneCell">
    <xdr:from>
      <xdr:col>10</xdr:col>
      <xdr:colOff>401012</xdr:colOff>
      <xdr:row>0</xdr:row>
      <xdr:rowOff>116417</xdr:rowOff>
    </xdr:from>
    <xdr:to>
      <xdr:col>13</xdr:col>
      <xdr:colOff>499533</xdr:colOff>
      <xdr:row>2</xdr:row>
      <xdr:rowOff>171007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179" y="116417"/>
          <a:ext cx="2054321" cy="5909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87313</xdr:rowOff>
    </xdr:from>
    <xdr:to>
      <xdr:col>1</xdr:col>
      <xdr:colOff>1199210</xdr:colOff>
      <xdr:row>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218"/>
          <a:ext cx="1593545" cy="579649"/>
        </a:xfrm>
        <a:prstGeom prst="rect">
          <a:avLst/>
        </a:prstGeom>
      </xdr:spPr>
    </xdr:pic>
    <xdr:clientData/>
  </xdr:twoCellAnchor>
  <xdr:twoCellAnchor editAs="oneCell">
    <xdr:from>
      <xdr:col>10</xdr:col>
      <xdr:colOff>401012</xdr:colOff>
      <xdr:row>0</xdr:row>
      <xdr:rowOff>116417</xdr:rowOff>
    </xdr:from>
    <xdr:to>
      <xdr:col>14</xdr:col>
      <xdr:colOff>0</xdr:colOff>
      <xdr:row>2</xdr:row>
      <xdr:rowOff>174817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777" y="116417"/>
          <a:ext cx="2003098" cy="60704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31</xdr:row>
      <xdr:rowOff>148937</xdr:rowOff>
    </xdr:from>
    <xdr:to>
      <xdr:col>6</xdr:col>
      <xdr:colOff>913617</xdr:colOff>
      <xdr:row>68</xdr:row>
      <xdr:rowOff>114300</xdr:rowOff>
    </xdr:to>
    <xdr:pic>
      <xdr:nvPicPr>
        <xdr:cNvPr id="4" name="Picture 3" descr="Figure 8.  E-waste RL research themes and subcategories.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863937"/>
          <a:ext cx="7619217" cy="666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74</xdr:row>
      <xdr:rowOff>28575</xdr:rowOff>
    </xdr:from>
    <xdr:to>
      <xdr:col>6</xdr:col>
      <xdr:colOff>124682</xdr:colOff>
      <xdr:row>95</xdr:row>
      <xdr:rowOff>93903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13525500"/>
          <a:ext cx="7001732" cy="3865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27709</xdr:rowOff>
    </xdr:from>
    <xdr:to>
      <xdr:col>7</xdr:col>
      <xdr:colOff>467388</xdr:colOff>
      <xdr:row>109</xdr:row>
      <xdr:rowOff>102808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969345"/>
          <a:ext cx="8552381" cy="18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7</xdr:col>
      <xdr:colOff>731505</xdr:colOff>
      <xdr:row>161</xdr:row>
      <xdr:rowOff>145240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927" y="20463164"/>
          <a:ext cx="8428571" cy="87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36285</xdr:rowOff>
    </xdr:from>
    <xdr:to>
      <xdr:col>2</xdr:col>
      <xdr:colOff>61749</xdr:colOff>
      <xdr:row>2</xdr:row>
      <xdr:rowOff>152398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85"/>
          <a:ext cx="1469272" cy="533399"/>
        </a:xfrm>
        <a:prstGeom prst="rect">
          <a:avLst/>
        </a:prstGeom>
      </xdr:spPr>
    </xdr:pic>
    <xdr:clientData/>
  </xdr:twoCellAnchor>
  <xdr:twoCellAnchor editAs="oneCell">
    <xdr:from>
      <xdr:col>11</xdr:col>
      <xdr:colOff>1438179</xdr:colOff>
      <xdr:row>0</xdr:row>
      <xdr:rowOff>9071</xdr:rowOff>
    </xdr:from>
    <xdr:to>
      <xdr:col>14</xdr:col>
      <xdr:colOff>0</xdr:colOff>
      <xdr:row>3</xdr:row>
      <xdr:rowOff>1310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0393" y="9071"/>
          <a:ext cx="2054321" cy="5909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23</xdr:col>
      <xdr:colOff>322590</xdr:colOff>
      <xdr:row>36</xdr:row>
      <xdr:rowOff>180331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5700" y="1657350"/>
          <a:ext cx="10076190" cy="51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nit_MAT\_REMA\Projecten\1910028%20-%20B-FERST\Projectuitvoering\Data%20collection\Received%20data%20Fertiberia\SBQ%20-%20P2_FERT_v2%20(Ashes%20unavailable%20nutrients%20-%20Nutrient%20Recovery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 to questionnaire"/>
      <sheetName val="General process chart"/>
      <sheetName val="Overview products"/>
      <sheetName val="Mass balance P3 (Ash WWTP)"/>
      <sheetName val="P3 nutrient recovery"/>
      <sheetName val="P3 granulation"/>
      <sheetName val="P2 Coating"/>
      <sheetName val="P3 biostimulant add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_vito2022b">
      <a:dk1>
        <a:srgbClr val="000000"/>
      </a:dk1>
      <a:lt1>
        <a:srgbClr val="FFFFFF"/>
      </a:lt1>
      <a:dk2>
        <a:srgbClr val="788EFE"/>
      </a:dk2>
      <a:lt2>
        <a:srgbClr val="E7E6E6"/>
      </a:lt2>
      <a:accent1>
        <a:srgbClr val="002E56"/>
      </a:accent1>
      <a:accent2>
        <a:srgbClr val="E72C43"/>
      </a:accent2>
      <a:accent3>
        <a:srgbClr val="FF6700"/>
      </a:accent3>
      <a:accent4>
        <a:srgbClr val="F9CB1F"/>
      </a:accent4>
      <a:accent5>
        <a:srgbClr val="41D9F9"/>
      </a:accent5>
      <a:accent6>
        <a:srgbClr val="15EA75"/>
      </a:accent6>
      <a:hlink>
        <a:srgbClr val="788EFE"/>
      </a:hlink>
      <a:folHlink>
        <a:srgbClr val="9695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1016/j.jclepro.2019.119498" TargetMode="External"/><Relationship Id="rId2" Type="http://schemas.openxmlformats.org/officeDocument/2006/relationships/hyperlink" Target="https://doi.org/10.1080/13675567.2021.1993159" TargetMode="External"/><Relationship Id="rId1" Type="http://schemas.openxmlformats.org/officeDocument/2006/relationships/hyperlink" Target="https://doi.org/10.1016/j.jclepro.2020.122475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energyusecalculator.com/electricity_microwave.ht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duvcuring.com/led-uv-ultraviolet-irradiation-crosslinking-equipment-for-cable-and-wire_p266.html" TargetMode="External"/><Relationship Id="rId2" Type="http://schemas.openxmlformats.org/officeDocument/2006/relationships/hyperlink" Target="https://www.leduvcuring.com/led-uv-ultraviolet-irradiation-crosslinking-equipment-for-cable-and-wire_p266.html" TargetMode="External"/><Relationship Id="rId1" Type="http://schemas.openxmlformats.org/officeDocument/2006/relationships/hyperlink" Target="https://www.ebay.com/itm/255399143072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tatbel.fgov.be/en/themes/consumer-prices/consumer-price-inde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CEB6F-2791-4079-A337-45363E8CEEBE}">
  <sheetPr codeName="Sheet13">
    <tabColor theme="4"/>
  </sheetPr>
  <dimension ref="A1:K20"/>
  <sheetViews>
    <sheetView showGridLines="0" zoomScale="150" zoomScaleNormal="150" workbookViewId="0">
      <selection activeCell="B19" sqref="B19"/>
    </sheetView>
  </sheetViews>
  <sheetFormatPr defaultColWidth="0" defaultRowHeight="14.65" customHeight="1" zeroHeight="1"/>
  <cols>
    <col min="1" max="1" width="8.7109375" customWidth="1"/>
    <col min="2" max="2" width="13.7109375" customWidth="1"/>
    <col min="3" max="11" width="8.7109375" customWidth="1"/>
    <col min="12" max="16384" width="8.7109375" hidden="1"/>
  </cols>
  <sheetData>
    <row r="1" spans="1:11" ht="14.45"/>
    <row r="2" spans="1:11" ht="14.45"/>
    <row r="3" spans="1:11" ht="14.45"/>
    <row r="4" spans="1:11" ht="14.45"/>
    <row r="5" spans="1:11" ht="14.45"/>
    <row r="6" spans="1:11" ht="14.45"/>
    <row r="7" spans="1:11" ht="14.4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4.4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 ht="30.6">
      <c r="A9" s="16"/>
      <c r="B9" s="66" t="s">
        <v>0</v>
      </c>
      <c r="C9" s="16"/>
      <c r="D9" s="16"/>
      <c r="E9" s="16"/>
      <c r="F9" s="16"/>
      <c r="G9" s="16"/>
      <c r="H9" s="16"/>
      <c r="I9" s="16"/>
      <c r="J9" s="16"/>
      <c r="K9" s="16"/>
    </row>
    <row r="10" spans="1:11" ht="23.45">
      <c r="A10" s="16"/>
      <c r="B10" s="67" t="s">
        <v>1</v>
      </c>
      <c r="C10" s="16"/>
      <c r="D10" s="16"/>
      <c r="E10" s="16"/>
      <c r="F10" s="16"/>
      <c r="G10" s="16"/>
      <c r="H10" s="16"/>
      <c r="I10" s="16"/>
      <c r="J10" s="16"/>
      <c r="K10" s="16"/>
    </row>
    <row r="11" spans="1:11" ht="14.45">
      <c r="A11" s="16"/>
      <c r="B11" s="68"/>
      <c r="C11" s="16"/>
      <c r="D11" s="16"/>
      <c r="E11" s="16"/>
      <c r="F11" s="16"/>
      <c r="G11" s="16"/>
      <c r="H11" s="16"/>
      <c r="I11" s="16"/>
      <c r="J11" s="16"/>
      <c r="K11" s="16"/>
    </row>
    <row r="12" spans="1:11" ht="14.45">
      <c r="A12" s="16"/>
      <c r="B12" s="68"/>
      <c r="C12" s="16"/>
      <c r="D12" s="16"/>
      <c r="E12" s="16"/>
      <c r="F12" s="16"/>
      <c r="G12" s="16"/>
      <c r="H12" s="16"/>
      <c r="I12" s="16"/>
      <c r="J12" s="16"/>
      <c r="K12" s="16"/>
    </row>
    <row r="13" spans="1:11" ht="14.45">
      <c r="A13" s="16"/>
      <c r="B13" s="68"/>
      <c r="C13" s="16"/>
      <c r="D13" s="16"/>
      <c r="E13" s="16"/>
      <c r="F13" s="16"/>
      <c r="G13" s="16"/>
      <c r="H13" s="16"/>
      <c r="I13" s="16"/>
      <c r="J13" s="16"/>
      <c r="K13" s="16"/>
    </row>
    <row r="14" spans="1:11" ht="14.45">
      <c r="A14" s="16"/>
      <c r="B14" s="68"/>
      <c r="C14" s="16"/>
      <c r="D14" s="16"/>
      <c r="E14" s="16"/>
      <c r="F14" s="16"/>
      <c r="G14" s="16"/>
      <c r="H14" s="16"/>
      <c r="I14" s="16"/>
      <c r="J14" s="16"/>
      <c r="K14" s="16"/>
    </row>
    <row r="15" spans="1:11" ht="14.45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</row>
    <row r="16" spans="1:11" ht="14.45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</row>
    <row r="17" spans="1:11" ht="14.45">
      <c r="A17" s="16"/>
      <c r="B17" s="17"/>
      <c r="C17" s="16"/>
      <c r="D17" s="16"/>
      <c r="E17" s="16"/>
      <c r="F17" s="16"/>
      <c r="G17" s="16"/>
      <c r="H17" s="16"/>
      <c r="I17" s="16"/>
      <c r="J17" s="16"/>
      <c r="K17" s="16"/>
    </row>
    <row r="18" spans="1:11" ht="14.45">
      <c r="A18" s="16"/>
      <c r="B18" s="69">
        <f ca="1">TODAY()</f>
        <v>45398</v>
      </c>
      <c r="C18" s="16"/>
      <c r="D18" s="16"/>
      <c r="E18" s="16"/>
      <c r="F18" s="16"/>
      <c r="G18" s="16"/>
      <c r="H18" s="16"/>
      <c r="I18" s="16"/>
      <c r="J18" s="16"/>
      <c r="K18" s="16"/>
    </row>
    <row r="19" spans="1:11" ht="14.4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1" ht="14.45"/>
  </sheetData>
  <sheetProtection algorithmName="SHA-512" hashValue="0XT76Pr1Gq8dDGHG8PFo3peabSmNrvygftsqQZAc81X1QydYyIA8VmfyEGp6+jbSR4nIG+tGazGv6kbV0mpV6Q==" saltValue="BhRblkl0cVrZyX+o64na9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4768-4D01-4FC6-A87D-1102D0AEDC22}">
  <sheetPr codeName="Sheet6">
    <tabColor theme="3" tint="0.79998168889431442"/>
  </sheetPr>
  <dimension ref="A1:AD123"/>
  <sheetViews>
    <sheetView showGridLines="0" topLeftCell="A120" zoomScale="80" zoomScaleNormal="80" workbookViewId="0">
      <selection activeCell="B30" sqref="B30"/>
    </sheetView>
  </sheetViews>
  <sheetFormatPr defaultColWidth="0" defaultRowHeight="14.45"/>
  <cols>
    <col min="1" max="1" width="5.7109375" customWidth="1"/>
    <col min="2" max="2" width="26.28515625" customWidth="1"/>
    <col min="3" max="3" width="29" bestFit="1" customWidth="1"/>
    <col min="4" max="4" width="13.42578125" bestFit="1" customWidth="1"/>
    <col min="5" max="5" width="9.5703125" bestFit="1" customWidth="1"/>
    <col min="6" max="6" width="17.28515625" bestFit="1" customWidth="1"/>
    <col min="7" max="7" width="16.5703125" bestFit="1" customWidth="1"/>
    <col min="8" max="8" width="14.42578125" style="114" bestFit="1" customWidth="1"/>
    <col min="9" max="9" width="19.28515625" style="115" bestFit="1" customWidth="1"/>
    <col min="10" max="10" width="15.7109375" style="115" customWidth="1"/>
    <col min="11" max="14" width="8.7109375" customWidth="1"/>
    <col min="15" max="30" width="0" hidden="1" customWidth="1"/>
    <col min="31" max="16384" width="8.7109375" hidden="1"/>
  </cols>
  <sheetData>
    <row r="1" spans="1:10" s="101" customFormat="1">
      <c r="H1" s="102"/>
    </row>
    <row r="2" spans="1:10" s="101" customFormat="1" ht="29.45">
      <c r="A2" s="103"/>
      <c r="B2" s="103"/>
      <c r="C2" s="104" t="s">
        <v>198</v>
      </c>
      <c r="D2" s="103"/>
      <c r="E2" s="103"/>
      <c r="F2" s="103"/>
      <c r="G2" s="103"/>
      <c r="H2" s="105"/>
    </row>
    <row r="3" spans="1:10" s="101" customFormat="1">
      <c r="H3" s="102"/>
    </row>
    <row r="4" spans="1:10" s="101" customFormat="1" ht="7.9" customHeight="1">
      <c r="H4" s="102"/>
    </row>
    <row r="5" spans="1:10">
      <c r="H5" s="106"/>
      <c r="I5"/>
      <c r="J5"/>
    </row>
    <row r="6" spans="1:10">
      <c r="D6" t="s">
        <v>199</v>
      </c>
      <c r="E6" t="s">
        <v>200</v>
      </c>
      <c r="F6" t="s">
        <v>201</v>
      </c>
    </row>
    <row r="7" spans="1:10">
      <c r="C7" t="s">
        <v>202</v>
      </c>
      <c r="D7">
        <v>15</v>
      </c>
      <c r="E7">
        <v>5000</v>
      </c>
      <c r="F7">
        <v>1</v>
      </c>
      <c r="H7" t="s">
        <v>203</v>
      </c>
    </row>
    <row r="8" spans="1:10">
      <c r="C8" t="s">
        <v>204</v>
      </c>
      <c r="D8">
        <v>4</v>
      </c>
      <c r="E8">
        <v>2000</v>
      </c>
      <c r="F8">
        <v>0.85</v>
      </c>
      <c r="H8" t="s">
        <v>205</v>
      </c>
    </row>
    <row r="9" spans="1:10">
      <c r="C9" t="s">
        <v>206</v>
      </c>
      <c r="D9">
        <v>2</v>
      </c>
      <c r="E9">
        <v>500</v>
      </c>
      <c r="F9">
        <v>0.6</v>
      </c>
      <c r="H9" t="s">
        <v>207</v>
      </c>
    </row>
    <row r="13" spans="1:10">
      <c r="D13" t="s">
        <v>208</v>
      </c>
    </row>
    <row r="14" spans="1:10">
      <c r="C14" t="s">
        <v>209</v>
      </c>
      <c r="D14" s="121">
        <v>0.1</v>
      </c>
    </row>
    <row r="20" spans="2:6">
      <c r="C20" t="s">
        <v>210</v>
      </c>
    </row>
    <row r="29" spans="2:6">
      <c r="B29" t="s">
        <v>211</v>
      </c>
      <c r="C29">
        <v>1.5</v>
      </c>
      <c r="D29" t="s">
        <v>212</v>
      </c>
      <c r="F29" s="126" t="s">
        <v>114</v>
      </c>
    </row>
    <row r="30" spans="2:6">
      <c r="B30" t="s">
        <v>213</v>
      </c>
      <c r="C30" t="s">
        <v>214</v>
      </c>
    </row>
    <row r="36" spans="8:8">
      <c r="H36" s="126" t="s">
        <v>215</v>
      </c>
    </row>
    <row r="71" spans="2:2">
      <c r="B71" t="s">
        <v>216</v>
      </c>
    </row>
    <row r="72" spans="2:2">
      <c r="B72" t="s">
        <v>217</v>
      </c>
    </row>
    <row r="121" spans="9:9">
      <c r="I121" s="115" t="s">
        <v>218</v>
      </c>
    </row>
    <row r="123" spans="9:9">
      <c r="I123" s="126" t="s">
        <v>219</v>
      </c>
    </row>
  </sheetData>
  <hyperlinks>
    <hyperlink ref="F29" r:id="rId1" display="https://doi.org/10.1016/j.jclepro.2020.122475" xr:uid="{3E13CB29-F389-4A18-8924-DF8D84A4F6B3}"/>
    <hyperlink ref="H36" r:id="rId2" display="https://doi.org/10.1080/13675567.2021.1993159" xr:uid="{AF2C04B8-971F-41D9-87A4-504444817C13}"/>
    <hyperlink ref="I123" r:id="rId3" display="https://doi.org/10.1016/j.jclepro.2019.119498" xr:uid="{53F9C4F7-DC9B-4D89-A178-A2289ED2DC26}"/>
  </hyperlinks>
  <pageMargins left="0.7" right="0.7" top="0.75" bottom="0.75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EDBA7-E1A6-4CAE-A07B-9671E5A7BF10}">
  <sheetPr codeName="Sheet8">
    <tabColor theme="8" tint="-0.499984740745262"/>
  </sheetPr>
  <dimension ref="A1:AT60"/>
  <sheetViews>
    <sheetView showGridLines="0" topLeftCell="B1" zoomScale="70" zoomScaleNormal="70" workbookViewId="0">
      <selection activeCell="B30" sqref="B30"/>
    </sheetView>
  </sheetViews>
  <sheetFormatPr defaultColWidth="0" defaultRowHeight="14.45" zeroHeight="1"/>
  <cols>
    <col min="1" max="1" width="4.7109375" customWidth="1"/>
    <col min="2" max="2" width="15.7109375" customWidth="1"/>
    <col min="3" max="3" width="18.42578125" bestFit="1" customWidth="1"/>
    <col min="4" max="4" width="44.42578125" bestFit="1" customWidth="1"/>
    <col min="5" max="13" width="20.7109375" customWidth="1"/>
    <col min="14" max="14" width="8.7109375" customWidth="1"/>
    <col min="15" max="16384" width="8.7109375" hidden="1"/>
  </cols>
  <sheetData>
    <row r="1" spans="1:46" s="14" customFormat="1"/>
    <row r="2" spans="1:46" s="14" customFormat="1" ht="18">
      <c r="B2" s="15"/>
      <c r="C2" s="70" t="s">
        <v>220</v>
      </c>
      <c r="D2" s="20"/>
    </row>
    <row r="3" spans="1:46" s="14" customFormat="1"/>
    <row r="4" spans="1:46"/>
    <row r="5" spans="1:46"/>
    <row r="6" spans="1:46" ht="48" customHeight="1">
      <c r="A6" s="21"/>
      <c r="B6" s="21"/>
      <c r="C6" s="47"/>
      <c r="D6" s="93" t="s">
        <v>221</v>
      </c>
      <c r="E6" s="94" t="s">
        <v>222</v>
      </c>
      <c r="F6" s="94" t="s">
        <v>223</v>
      </c>
      <c r="G6" s="94" t="s">
        <v>224</v>
      </c>
      <c r="H6" s="94" t="s">
        <v>225</v>
      </c>
      <c r="I6" s="94" t="s">
        <v>226</v>
      </c>
      <c r="J6" s="94" t="s">
        <v>227</v>
      </c>
      <c r="K6" s="94" t="s">
        <v>228</v>
      </c>
      <c r="L6" s="94" t="s">
        <v>229</v>
      </c>
      <c r="M6" s="92" t="s">
        <v>230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>
      <c r="A7" s="21"/>
      <c r="B7" s="21"/>
      <c r="C7" s="29" t="s">
        <v>231</v>
      </c>
      <c r="D7" s="43" t="s">
        <v>232</v>
      </c>
      <c r="E7" s="84"/>
      <c r="F7" s="84"/>
      <c r="G7" s="84"/>
      <c r="H7" s="27">
        <f>AVERAGE(Induction!C5:D5)</f>
        <v>9500</v>
      </c>
      <c r="I7" s="27">
        <f>AVERAGE(TEP!C5:D5)</f>
        <v>9500</v>
      </c>
      <c r="J7" s="84"/>
      <c r="K7" s="84"/>
      <c r="L7" s="84"/>
      <c r="M7" s="84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>
      <c r="A8" s="21"/>
      <c r="B8" s="21"/>
      <c r="C8" s="30"/>
      <c r="D8" s="22"/>
      <c r="E8" s="88"/>
      <c r="F8" s="88"/>
      <c r="G8" s="88"/>
      <c r="H8" s="35"/>
      <c r="I8" s="35"/>
      <c r="J8" s="85"/>
      <c r="K8" s="85"/>
      <c r="L8" s="85"/>
      <c r="M8" s="85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>
      <c r="A9" s="21"/>
      <c r="B9" s="21"/>
      <c r="C9" s="30"/>
      <c r="D9" s="22" t="s">
        <v>233</v>
      </c>
      <c r="E9" s="86"/>
      <c r="F9" s="86"/>
      <c r="G9" s="86"/>
      <c r="H9" s="54">
        <v>10</v>
      </c>
      <c r="I9" s="54">
        <v>10</v>
      </c>
      <c r="J9" s="86"/>
      <c r="K9" s="86"/>
      <c r="L9" s="86"/>
      <c r="M9" s="86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>
      <c r="A10" s="21"/>
      <c r="B10" s="21"/>
      <c r="C10" s="30"/>
      <c r="D10" s="22"/>
      <c r="E10" s="86"/>
      <c r="F10" s="86"/>
      <c r="G10" s="86"/>
      <c r="H10" s="54"/>
      <c r="I10" s="54"/>
      <c r="J10" s="86"/>
      <c r="K10" s="86"/>
      <c r="L10" s="86"/>
      <c r="M10" s="86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>
      <c r="A11" s="21"/>
      <c r="B11" s="21"/>
      <c r="C11" s="30"/>
      <c r="D11" s="22" t="s">
        <v>234</v>
      </c>
      <c r="E11" s="89"/>
      <c r="F11" s="86"/>
      <c r="G11" s="86"/>
      <c r="H11" s="55">
        <v>10000</v>
      </c>
      <c r="I11" s="55">
        <v>10000</v>
      </c>
      <c r="J11" s="86"/>
      <c r="K11" s="86"/>
      <c r="L11" s="86"/>
      <c r="M11" s="86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>
      <c r="A12" s="21"/>
      <c r="B12" s="21"/>
      <c r="C12" s="31"/>
      <c r="D12" s="44" t="s">
        <v>235</v>
      </c>
      <c r="E12" s="87"/>
      <c r="F12" s="87"/>
      <c r="G12" s="87"/>
      <c r="H12" s="65">
        <f t="shared" ref="H12:I12" si="0">H7/H9/H11</f>
        <v>9.5000000000000001E-2</v>
      </c>
      <c r="I12" s="65">
        <f t="shared" si="0"/>
        <v>9.5000000000000001E-2</v>
      </c>
      <c r="J12" s="87"/>
      <c r="K12" s="87"/>
      <c r="L12" s="87"/>
      <c r="M12" s="87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>
      <c r="A13" s="21"/>
      <c r="B13" s="21"/>
      <c r="C13" s="32" t="s">
        <v>236</v>
      </c>
      <c r="D13" s="22" t="s">
        <v>237</v>
      </c>
      <c r="E13" s="90"/>
      <c r="F13" s="35">
        <f>AVERAGE(Convection!E7,Convection!E8)</f>
        <v>27469.5</v>
      </c>
      <c r="G13" s="35">
        <f>Induction!E14+Induction!E15</f>
        <v>26600.5</v>
      </c>
      <c r="H13" s="35">
        <f>G13</f>
        <v>26600.5</v>
      </c>
      <c r="I13" s="35">
        <f>AVERAGE(TEP!E14,TEP!E15)</f>
        <v>27469.5</v>
      </c>
      <c r="J13" s="28">
        <f>AVERAGE(Electric!C9:C10)</f>
        <v>450</v>
      </c>
      <c r="K13" s="28">
        <f>J13</f>
        <v>450</v>
      </c>
      <c r="L13" s="28">
        <f>UV!C7</f>
        <v>4000</v>
      </c>
      <c r="M13" s="28">
        <f>Microwave!C7</f>
        <v>6050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>
      <c r="A14" s="21"/>
      <c r="B14" s="21"/>
      <c r="C14" s="30"/>
      <c r="D14" s="22"/>
      <c r="E14" s="86"/>
      <c r="F14" s="54"/>
      <c r="G14" s="54"/>
      <c r="H14" s="54"/>
      <c r="I14" s="54"/>
      <c r="J14" s="54"/>
      <c r="K14" s="54"/>
      <c r="L14" s="54"/>
      <c r="M14" s="54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>
      <c r="A15" s="21"/>
      <c r="B15" s="21"/>
      <c r="C15" s="30"/>
      <c r="D15" s="22" t="s">
        <v>233</v>
      </c>
      <c r="E15" s="86"/>
      <c r="F15" s="54">
        <v>10</v>
      </c>
      <c r="G15" s="54">
        <v>10</v>
      </c>
      <c r="H15" s="54">
        <v>10</v>
      </c>
      <c r="I15" s="54">
        <v>10</v>
      </c>
      <c r="J15" s="54">
        <v>10</v>
      </c>
      <c r="K15" s="54">
        <v>10</v>
      </c>
      <c r="L15" s="54">
        <v>10</v>
      </c>
      <c r="M15" s="54">
        <v>10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>
      <c r="A16" s="21"/>
      <c r="B16" s="21"/>
      <c r="C16" s="30"/>
      <c r="D16" s="22"/>
      <c r="E16" s="86"/>
      <c r="F16" s="54"/>
      <c r="G16" s="54"/>
      <c r="H16" s="54"/>
      <c r="I16" s="54"/>
      <c r="J16" s="54"/>
      <c r="K16" s="54"/>
      <c r="L16" s="54"/>
      <c r="M16" s="54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>
      <c r="A17" s="21"/>
      <c r="B17" s="21"/>
      <c r="C17" s="30"/>
      <c r="D17" s="22" t="s">
        <v>234</v>
      </c>
      <c r="E17" s="89"/>
      <c r="F17" s="55">
        <v>10000</v>
      </c>
      <c r="G17" s="55">
        <v>10000</v>
      </c>
      <c r="H17" s="55">
        <v>10000</v>
      </c>
      <c r="I17" s="55">
        <v>10000</v>
      </c>
      <c r="J17" s="55">
        <v>10000</v>
      </c>
      <c r="K17" s="55">
        <v>10000</v>
      </c>
      <c r="L17" s="55">
        <v>10000</v>
      </c>
      <c r="M17" s="55">
        <v>10000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>
      <c r="A18" s="21"/>
      <c r="B18" s="21"/>
      <c r="C18" s="30"/>
      <c r="D18" s="22" t="s">
        <v>235</v>
      </c>
      <c r="E18" s="91"/>
      <c r="F18" s="56">
        <f>F13/F15/F17</f>
        <v>0.27469499999999997</v>
      </c>
      <c r="G18" s="56">
        <f t="shared" ref="G18:M18" si="1">G13/G15/G17</f>
        <v>0.26600499999999999</v>
      </c>
      <c r="H18" s="56">
        <f t="shared" si="1"/>
        <v>0.26600499999999999</v>
      </c>
      <c r="I18" s="56">
        <f t="shared" si="1"/>
        <v>0.27469499999999997</v>
      </c>
      <c r="J18" s="56">
        <f t="shared" si="1"/>
        <v>4.4999999999999997E-3</v>
      </c>
      <c r="K18" s="56">
        <f t="shared" si="1"/>
        <v>4.4999999999999997E-3</v>
      </c>
      <c r="L18" s="56">
        <f t="shared" si="1"/>
        <v>0.04</v>
      </c>
      <c r="M18" s="56">
        <f t="shared" si="1"/>
        <v>6.0499999999999998E-2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>
      <c r="A19" s="21"/>
      <c r="B19" s="21"/>
      <c r="C19" s="29" t="s">
        <v>238</v>
      </c>
      <c r="D19" s="23" t="s">
        <v>239</v>
      </c>
      <c r="E19" s="24">
        <f>AVERAGE('Trad. adhesive'!H2:H3)</f>
        <v>0.7208</v>
      </c>
      <c r="F19" s="24">
        <f>AVERAGE('Trad. adhesive'!H2:H3)</f>
        <v>0.7208</v>
      </c>
      <c r="G19" s="24">
        <f>AVERAGE('Trad. adhesive'!H2:H3)</f>
        <v>0.7208</v>
      </c>
      <c r="H19" s="24">
        <f>G19</f>
        <v>0.7208</v>
      </c>
      <c r="I19" s="24">
        <f>AVERAGE('Trad. adhesive'!H2:H3)</f>
        <v>0.7208</v>
      </c>
      <c r="J19" s="37">
        <f>E19*2</f>
        <v>1.4416</v>
      </c>
      <c r="K19" s="37">
        <f>E19*2</f>
        <v>1.4416</v>
      </c>
      <c r="L19" s="37">
        <f>E19*2</f>
        <v>1.4416</v>
      </c>
      <c r="M19" s="24" t="e">
        <f>'Background data'!#REF!</f>
        <v>#REF!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>
      <c r="A20" s="21"/>
      <c r="B20" s="21"/>
      <c r="C20" s="32"/>
      <c r="D20" s="22" t="s">
        <v>240</v>
      </c>
      <c r="E20" s="36">
        <v>0</v>
      </c>
      <c r="F20" s="36">
        <v>0</v>
      </c>
      <c r="G20" s="36">
        <v>0</v>
      </c>
      <c r="H20" s="36">
        <f>AVERAGE(Induction!C8:D8)</f>
        <v>1.3750000000000002E-2</v>
      </c>
      <c r="I20" s="36">
        <f>AVERAGE(TEP!C8:D8)</f>
        <v>2.0899999999999998E-2</v>
      </c>
      <c r="J20" s="36">
        <v>0</v>
      </c>
      <c r="K20" s="38" t="s">
        <v>241</v>
      </c>
      <c r="L20" s="38">
        <v>0</v>
      </c>
      <c r="M20" s="36">
        <v>0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>
      <c r="A21" s="21"/>
      <c r="B21" s="21"/>
      <c r="C21" s="32"/>
      <c r="D21" s="22" t="s">
        <v>242</v>
      </c>
      <c r="E21" s="39">
        <f t="shared" ref="E21:M21" si="2">SUM(E19,E20)</f>
        <v>0.7208</v>
      </c>
      <c r="F21" s="39">
        <f t="shared" si="2"/>
        <v>0.7208</v>
      </c>
      <c r="G21" s="39">
        <f t="shared" si="2"/>
        <v>0.7208</v>
      </c>
      <c r="H21" s="39">
        <f t="shared" si="2"/>
        <v>0.73455000000000004</v>
      </c>
      <c r="I21" s="39">
        <f t="shared" si="2"/>
        <v>0.74170000000000003</v>
      </c>
      <c r="J21" s="39">
        <f t="shared" si="2"/>
        <v>1.4416</v>
      </c>
      <c r="K21" s="39">
        <f t="shared" si="2"/>
        <v>1.4416</v>
      </c>
      <c r="L21" s="39">
        <f t="shared" si="2"/>
        <v>1.4416</v>
      </c>
      <c r="M21" s="39" t="e">
        <f t="shared" si="2"/>
        <v>#REF!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>
      <c r="A22" s="21"/>
      <c r="B22" s="21"/>
      <c r="C22" s="32"/>
      <c r="D22" s="22"/>
      <c r="E22" s="39"/>
      <c r="F22" s="39"/>
      <c r="G22" s="39"/>
      <c r="H22" s="39"/>
      <c r="I22" s="39"/>
      <c r="J22" s="39"/>
      <c r="K22" s="39"/>
      <c r="L22" s="40"/>
      <c r="M22" s="39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>
      <c r="A23" s="21"/>
      <c r="B23" s="21"/>
      <c r="C23" s="32"/>
      <c r="D23" s="22" t="s">
        <v>243</v>
      </c>
      <c r="E23" s="39"/>
      <c r="F23" s="39"/>
      <c r="G23" s="39"/>
      <c r="H23" s="34">
        <v>0.49</v>
      </c>
      <c r="I23" s="34">
        <v>0.49</v>
      </c>
      <c r="J23" s="39"/>
      <c r="K23" s="39"/>
      <c r="L23" s="40"/>
      <c r="M23" s="39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>
      <c r="A24" s="21"/>
      <c r="B24" s="21"/>
      <c r="C24" s="32"/>
      <c r="D24" s="22" t="s">
        <v>244</v>
      </c>
      <c r="E24" s="39"/>
      <c r="F24" s="39"/>
      <c r="G24" s="39"/>
      <c r="H24" s="45">
        <f>2/60</f>
        <v>3.3333333333333333E-2</v>
      </c>
      <c r="I24" s="45">
        <f>2/60</f>
        <v>3.3333333333333333E-2</v>
      </c>
      <c r="J24" s="39"/>
      <c r="K24" s="39"/>
      <c r="L24" s="40"/>
      <c r="M24" s="39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>
      <c r="A25" s="21"/>
      <c r="B25" s="21"/>
      <c r="C25" s="32"/>
      <c r="D25" s="22" t="s">
        <v>245</v>
      </c>
      <c r="E25" s="39"/>
      <c r="F25" s="39"/>
      <c r="G25" s="39"/>
      <c r="H25" s="34">
        <f>H23*H24</f>
        <v>1.6333333333333332E-2</v>
      </c>
      <c r="I25" s="34">
        <f>I23*I24</f>
        <v>1.6333333333333332E-2</v>
      </c>
      <c r="J25" s="39"/>
      <c r="K25" s="39"/>
      <c r="L25" s="40"/>
      <c r="M25" s="39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>
      <c r="A26" s="21"/>
      <c r="B26" s="21"/>
      <c r="C26" s="32"/>
      <c r="D26" s="22" t="s">
        <v>246</v>
      </c>
      <c r="E26" s="39"/>
      <c r="F26" s="39"/>
      <c r="G26" s="39"/>
      <c r="H26" s="41">
        <f>'Background data'!$D$9*'TECHNOLOGY DATA'!H25</f>
        <v>2.4499999999999995E-3</v>
      </c>
      <c r="I26" s="41">
        <f>'Background data'!$D$9*'TECHNOLOGY DATA'!I25</f>
        <v>2.4499999999999995E-3</v>
      </c>
      <c r="J26" s="39"/>
      <c r="K26" s="39"/>
      <c r="L26" s="40"/>
      <c r="M26" s="39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>
      <c r="A27" s="21"/>
      <c r="B27" s="21"/>
      <c r="C27" s="32"/>
      <c r="D27" s="22"/>
      <c r="E27" s="39"/>
      <c r="F27" s="39"/>
      <c r="G27" s="39"/>
      <c r="H27" s="39"/>
      <c r="I27" s="26"/>
      <c r="J27" s="39"/>
      <c r="K27" s="39"/>
      <c r="L27" s="40"/>
      <c r="M27" s="39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>
      <c r="A28" s="21"/>
      <c r="B28" s="21"/>
      <c r="C28" s="32"/>
      <c r="D28" s="22" t="s">
        <v>247</v>
      </c>
      <c r="E28" s="25"/>
      <c r="F28" s="25"/>
      <c r="G28" s="25"/>
      <c r="H28" s="39">
        <f>'Background data'!$D$7*'TECHNOLOGY DATA'!H24</f>
        <v>0.97000000000000008</v>
      </c>
      <c r="I28" s="39">
        <f>'Background data'!$D$7*'TECHNOLOGY DATA'!I24</f>
        <v>0.97000000000000008</v>
      </c>
      <c r="J28" s="25"/>
      <c r="K28" s="25"/>
      <c r="L28" s="25"/>
      <c r="M28" s="25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>
      <c r="A29" s="21"/>
      <c r="B29" s="21"/>
      <c r="C29" s="32"/>
      <c r="D29" s="22"/>
      <c r="E29" s="25"/>
      <c r="F29" s="25"/>
      <c r="G29" s="25"/>
      <c r="H29" s="39"/>
      <c r="I29" s="39"/>
      <c r="J29" s="25"/>
      <c r="K29" s="25"/>
      <c r="L29" s="25"/>
      <c r="M29" s="25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>
      <c r="A30" s="21"/>
      <c r="B30" s="21"/>
      <c r="C30" s="32"/>
      <c r="D30" s="22" t="s">
        <v>248</v>
      </c>
      <c r="E30" s="25"/>
      <c r="F30" s="25"/>
      <c r="G30" s="25"/>
      <c r="H30" s="57">
        <v>100</v>
      </c>
      <c r="I30" s="57">
        <v>100</v>
      </c>
      <c r="J30" s="25"/>
      <c r="K30" s="25"/>
      <c r="L30" s="25"/>
      <c r="M30" s="25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>
      <c r="A31" s="21"/>
      <c r="B31" s="21"/>
      <c r="C31" s="32"/>
      <c r="D31" s="22" t="s">
        <v>249</v>
      </c>
      <c r="E31" s="25"/>
      <c r="F31" s="25"/>
      <c r="G31" s="25"/>
      <c r="H31" s="39">
        <f>(H26+H28)/H30</f>
        <v>9.7245000000000005E-3</v>
      </c>
      <c r="I31" s="39">
        <f>(I26+I28)/I30</f>
        <v>9.7245000000000005E-3</v>
      </c>
      <c r="J31" s="25"/>
      <c r="K31" s="25"/>
      <c r="L31" s="25"/>
      <c r="M31" s="25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>
      <c r="A32" s="21"/>
      <c r="B32" s="21"/>
      <c r="C32" s="32"/>
      <c r="D32" s="22"/>
      <c r="E32" s="25"/>
      <c r="F32" s="25"/>
      <c r="G32" s="25"/>
      <c r="H32" s="39"/>
      <c r="I32" s="39"/>
      <c r="J32" s="25"/>
      <c r="K32" s="25"/>
      <c r="L32" s="25"/>
      <c r="M32" s="25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>
      <c r="A33" s="21"/>
      <c r="B33" s="21"/>
      <c r="C33" s="32"/>
      <c r="D33" s="22" t="s">
        <v>250</v>
      </c>
      <c r="E33" s="41">
        <f t="shared" ref="E33:M33" si="3">E21+E31</f>
        <v>0.7208</v>
      </c>
      <c r="F33" s="41">
        <f t="shared" si="3"/>
        <v>0.7208</v>
      </c>
      <c r="G33" s="41">
        <f t="shared" si="3"/>
        <v>0.7208</v>
      </c>
      <c r="H33" s="41">
        <f t="shared" si="3"/>
        <v>0.74427450000000006</v>
      </c>
      <c r="I33" s="41">
        <f t="shared" si="3"/>
        <v>0.75142450000000005</v>
      </c>
      <c r="J33" s="41">
        <f t="shared" si="3"/>
        <v>1.4416</v>
      </c>
      <c r="K33" s="41">
        <f t="shared" si="3"/>
        <v>1.4416</v>
      </c>
      <c r="L33" s="41">
        <f t="shared" si="3"/>
        <v>1.4416</v>
      </c>
      <c r="M33" s="41" t="e">
        <f t="shared" si="3"/>
        <v>#REF!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>
      <c r="A34" s="21"/>
      <c r="B34" s="21"/>
      <c r="C34" s="32"/>
      <c r="D34" s="22"/>
      <c r="E34" s="41"/>
      <c r="F34" s="41"/>
      <c r="G34" s="41"/>
      <c r="H34" s="41"/>
      <c r="I34" s="41"/>
      <c r="J34" s="40"/>
      <c r="K34" s="40"/>
      <c r="L34" s="40"/>
      <c r="M34" s="4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>
      <c r="A35" s="21"/>
      <c r="B35" s="21"/>
      <c r="C35" s="32"/>
      <c r="D35" s="22" t="s">
        <v>251</v>
      </c>
      <c r="E35" s="62">
        <v>1</v>
      </c>
      <c r="F35" s="62">
        <v>1</v>
      </c>
      <c r="G35" s="62">
        <v>1</v>
      </c>
      <c r="H35" s="62">
        <v>1</v>
      </c>
      <c r="I35" s="62">
        <v>1</v>
      </c>
      <c r="J35" s="62">
        <v>1</v>
      </c>
      <c r="K35" s="62">
        <v>1</v>
      </c>
      <c r="L35" s="62">
        <v>1</v>
      </c>
      <c r="M35" s="62">
        <v>1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>
      <c r="A36" s="21"/>
      <c r="B36" s="21"/>
      <c r="C36" s="32"/>
      <c r="D36" s="22"/>
      <c r="E36" s="63"/>
      <c r="F36" s="63"/>
      <c r="G36" s="63"/>
      <c r="H36" s="63"/>
      <c r="I36" s="63"/>
      <c r="J36" s="63"/>
      <c r="K36" s="63"/>
      <c r="L36" s="63"/>
      <c r="M36" s="6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>
      <c r="A37" s="21"/>
      <c r="B37" s="21"/>
      <c r="C37" s="32"/>
      <c r="D37" s="22" t="s">
        <v>252</v>
      </c>
      <c r="E37" s="63">
        <f t="shared" ref="E37:M37" si="4">E33*E35</f>
        <v>0.7208</v>
      </c>
      <c r="F37" s="63">
        <f t="shared" si="4"/>
        <v>0.7208</v>
      </c>
      <c r="G37" s="63">
        <f t="shared" si="4"/>
        <v>0.7208</v>
      </c>
      <c r="H37" s="63">
        <f t="shared" si="4"/>
        <v>0.74427450000000006</v>
      </c>
      <c r="I37" s="63">
        <f t="shared" si="4"/>
        <v>0.75142450000000005</v>
      </c>
      <c r="J37" s="63">
        <f t="shared" si="4"/>
        <v>1.4416</v>
      </c>
      <c r="K37" s="63">
        <f t="shared" si="4"/>
        <v>1.4416</v>
      </c>
      <c r="L37" s="63">
        <f t="shared" si="4"/>
        <v>1.4416</v>
      </c>
      <c r="M37" s="63" t="e">
        <f t="shared" si="4"/>
        <v>#REF!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>
      <c r="A38" s="21"/>
      <c r="B38" s="21"/>
      <c r="C38" s="29" t="s">
        <v>253</v>
      </c>
      <c r="D38" s="43" t="s">
        <v>254</v>
      </c>
      <c r="E38" s="78"/>
      <c r="F38" s="71">
        <f>AVERAGE(Convection!C13:D13)</f>
        <v>7.55</v>
      </c>
      <c r="G38" s="71">
        <f>AVERAGE(Induction!C20:D20)</f>
        <v>11.875</v>
      </c>
      <c r="H38" s="71">
        <f>G38</f>
        <v>11.875</v>
      </c>
      <c r="I38" s="71">
        <f>AVERAGE(TEP!C21:D21)</f>
        <v>7.55</v>
      </c>
      <c r="J38" s="71">
        <f>AVERAGE(Electric!C21)/1000</f>
        <v>0.1125</v>
      </c>
      <c r="K38" s="71">
        <f>J38</f>
        <v>0.1125</v>
      </c>
      <c r="L38" s="71">
        <f>AVERAGE(UV!C11:D11)</f>
        <v>14</v>
      </c>
      <c r="M38" s="71">
        <f>AVERAGE(Microwave!D11,Microwave!C11)</f>
        <v>1.2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>
      <c r="A39" s="21"/>
      <c r="B39" s="21"/>
      <c r="C39" s="32"/>
      <c r="D39" s="22" t="s">
        <v>255</v>
      </c>
      <c r="E39" s="74"/>
      <c r="F39" s="58">
        <f>AVERAGE(Convection!C15:D15)</f>
        <v>0.83333333333333337</v>
      </c>
      <c r="G39" s="58">
        <f>AVERAGE(Induction!C22:D22)</f>
        <v>0.17083333333333334</v>
      </c>
      <c r="H39" s="58">
        <f>G39</f>
        <v>0.17083333333333334</v>
      </c>
      <c r="I39" s="58">
        <f>AVERAGE(TEP!C23:D23)</f>
        <v>0.83333333333333337</v>
      </c>
      <c r="J39" s="58">
        <f>AVERAGE(Electric!C20)/3600</f>
        <v>2.7777777777777779E-3</v>
      </c>
      <c r="K39" s="58">
        <f>J39</f>
        <v>2.7777777777777779E-3</v>
      </c>
      <c r="L39" s="58">
        <f>AVERAGE(UV!C13:D13)</f>
        <v>1.6666666666666666E-2</v>
      </c>
      <c r="M39" s="58">
        <f>AVERAGE(Microwave!C13,Microwave!D13)</f>
        <v>5.8333333333333334E-2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>
      <c r="A40" s="21"/>
      <c r="B40" s="21"/>
      <c r="C40" s="32"/>
      <c r="D40" s="22" t="s">
        <v>245</v>
      </c>
      <c r="E40" s="79"/>
      <c r="F40" s="58">
        <f>F38*F39</f>
        <v>6.291666666666667</v>
      </c>
      <c r="G40" s="58">
        <f>G39*G38</f>
        <v>2.0286458333333335</v>
      </c>
      <c r="H40" s="58">
        <f>G40</f>
        <v>2.0286458333333335</v>
      </c>
      <c r="I40" s="58">
        <f>I38*I39</f>
        <v>6.291666666666667</v>
      </c>
      <c r="J40" s="58">
        <f>J38*J39</f>
        <v>3.1250000000000001E-4</v>
      </c>
      <c r="K40" s="58">
        <f>K38*K39</f>
        <v>3.1250000000000001E-4</v>
      </c>
      <c r="L40" s="58">
        <f>L38*L39</f>
        <v>0.23333333333333334</v>
      </c>
      <c r="M40" s="58">
        <f>M38*M39</f>
        <v>6.9999999999999993E-2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>
      <c r="A41" s="21"/>
      <c r="B41" s="21"/>
      <c r="C41" s="32"/>
      <c r="D41" s="22" t="s">
        <v>246</v>
      </c>
      <c r="E41" s="75"/>
      <c r="F41" s="41">
        <f>F40*'Background data'!$D$9</f>
        <v>0.94374999999999998</v>
      </c>
      <c r="G41" s="41">
        <f>G40*'Background data'!$D$9</f>
        <v>0.30429687500000002</v>
      </c>
      <c r="H41" s="41">
        <f>G41</f>
        <v>0.30429687500000002</v>
      </c>
      <c r="I41" s="41">
        <f>I40*'Background data'!$D$9</f>
        <v>0.94374999999999998</v>
      </c>
      <c r="J41" s="41">
        <f>J40*'Background data'!$D$9</f>
        <v>4.6875000000000001E-5</v>
      </c>
      <c r="K41" s="41">
        <f>K40*'Background data'!$D$9</f>
        <v>4.6875000000000001E-5</v>
      </c>
      <c r="L41" s="41">
        <f>L40*'Background data'!$D$9</f>
        <v>3.4999999999999996E-2</v>
      </c>
      <c r="M41" s="41">
        <f>M40*'Background data'!$D$9</f>
        <v>1.0499999999999999E-2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>
      <c r="A42" s="21"/>
      <c r="B42" s="21"/>
      <c r="C42" s="32"/>
      <c r="D42" s="22"/>
      <c r="E42" s="76"/>
      <c r="F42" s="26"/>
      <c r="G42" s="26"/>
      <c r="H42" s="26"/>
      <c r="I42" s="26"/>
      <c r="J42" s="26"/>
      <c r="K42" s="26"/>
      <c r="L42" s="26"/>
      <c r="M42" s="26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>
      <c r="A43" s="21"/>
      <c r="B43" s="21"/>
      <c r="C43" s="32"/>
      <c r="D43" s="22" t="s">
        <v>256</v>
      </c>
      <c r="E43" s="80"/>
      <c r="F43" s="39">
        <f>'Background data'!$D$7*'TECHNOLOGY DATA'!F39</f>
        <v>24.250000000000004</v>
      </c>
      <c r="G43" s="39">
        <f>'Background data'!$D$7*'TECHNOLOGY DATA'!G39</f>
        <v>4.9712500000000004</v>
      </c>
      <c r="H43" s="39">
        <f>G43</f>
        <v>4.9712500000000004</v>
      </c>
      <c r="I43" s="39">
        <f>'Background data'!$D$7*'TECHNOLOGY DATA'!I39</f>
        <v>24.250000000000004</v>
      </c>
      <c r="J43" s="39">
        <f>'Background data'!$D$7*'TECHNOLOGY DATA'!J39</f>
        <v>8.083333333333334E-2</v>
      </c>
      <c r="K43" s="39">
        <f>'Background data'!$D$7*'TECHNOLOGY DATA'!K39</f>
        <v>8.083333333333334E-2</v>
      </c>
      <c r="L43" s="39">
        <f>'Background data'!$D$7*'TECHNOLOGY DATA'!L39</f>
        <v>0.48500000000000004</v>
      </c>
      <c r="M43" s="39">
        <f>'Background data'!$D$7*'TECHNOLOGY DATA'!M39</f>
        <v>1.6975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>
      <c r="A44" s="21"/>
      <c r="B44" s="21"/>
      <c r="C44" s="32"/>
      <c r="D44" s="60"/>
      <c r="E44" s="81"/>
      <c r="F44" s="39"/>
      <c r="G44" s="39"/>
      <c r="H44" s="39"/>
      <c r="I44" s="39"/>
      <c r="J44" s="39"/>
      <c r="K44" s="39"/>
      <c r="L44" s="39"/>
      <c r="M44" s="3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>
      <c r="A45" s="21"/>
      <c r="B45" s="21"/>
      <c r="C45" s="32"/>
      <c r="D45" s="60" t="s">
        <v>257</v>
      </c>
      <c r="E45" s="82"/>
      <c r="F45" s="64">
        <v>10</v>
      </c>
      <c r="G45" s="64">
        <v>1</v>
      </c>
      <c r="H45" s="64">
        <v>1</v>
      </c>
      <c r="I45" s="64">
        <v>10</v>
      </c>
      <c r="J45" s="64">
        <v>1</v>
      </c>
      <c r="K45" s="64">
        <v>1</v>
      </c>
      <c r="L45" s="64">
        <v>1</v>
      </c>
      <c r="M45" s="64">
        <v>10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</row>
    <row r="46" spans="1:46">
      <c r="A46" s="21"/>
      <c r="B46" s="21"/>
      <c r="C46" s="32"/>
      <c r="D46" s="60"/>
      <c r="E46" s="81"/>
      <c r="F46" s="61"/>
      <c r="G46" s="61"/>
      <c r="H46" s="61"/>
      <c r="I46" s="61"/>
      <c r="J46" s="61"/>
      <c r="K46" s="61"/>
      <c r="L46" s="61"/>
      <c r="M46" s="6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>
      <c r="A47" s="21"/>
      <c r="B47" s="21"/>
      <c r="C47" s="32"/>
      <c r="D47" s="59" t="s">
        <v>258</v>
      </c>
      <c r="E47" s="83"/>
      <c r="F47" s="61">
        <f>(F41+F43)/F45</f>
        <v>2.5193750000000006</v>
      </c>
      <c r="G47" s="61">
        <f t="shared" ref="G47:M47" si="5">(G41+G43)/G45</f>
        <v>5.2755468750000007</v>
      </c>
      <c r="H47" s="61">
        <f t="shared" si="5"/>
        <v>5.2755468750000007</v>
      </c>
      <c r="I47" s="61">
        <f t="shared" si="5"/>
        <v>2.5193750000000006</v>
      </c>
      <c r="J47" s="61">
        <f t="shared" si="5"/>
        <v>8.0880208333333342E-2</v>
      </c>
      <c r="K47" s="61">
        <f t="shared" si="5"/>
        <v>8.0880208333333342E-2</v>
      </c>
      <c r="L47" s="61">
        <f t="shared" si="5"/>
        <v>0.52</v>
      </c>
      <c r="M47" s="61">
        <f t="shared" si="5"/>
        <v>0.17080000000000001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>
      <c r="A48" s="21"/>
      <c r="B48" s="21"/>
      <c r="C48" s="29" t="s">
        <v>259</v>
      </c>
      <c r="D48" s="43" t="s">
        <v>254</v>
      </c>
      <c r="E48" s="72"/>
      <c r="F48" s="46"/>
      <c r="G48" s="46"/>
      <c r="H48" s="46"/>
      <c r="I48" s="46"/>
      <c r="J48" s="72"/>
      <c r="K48" s="72"/>
      <c r="L48" s="72"/>
      <c r="M48" s="46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>
      <c r="A49" s="21"/>
      <c r="B49" s="21"/>
      <c r="C49" s="32"/>
      <c r="D49" s="22" t="s">
        <v>260</v>
      </c>
      <c r="E49" s="73"/>
      <c r="F49" s="45"/>
      <c r="G49" s="45"/>
      <c r="H49" s="95"/>
      <c r="I49" s="45"/>
      <c r="J49" s="73"/>
      <c r="K49" s="73"/>
      <c r="L49" s="73"/>
      <c r="M49" s="45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>
      <c r="A50" s="21"/>
      <c r="B50" s="21"/>
      <c r="C50" s="32"/>
      <c r="D50" s="22" t="s">
        <v>245</v>
      </c>
      <c r="E50" s="74"/>
      <c r="F50" s="34">
        <f>F49*F48</f>
        <v>0</v>
      </c>
      <c r="G50" s="34">
        <f>G49*G48</f>
        <v>0</v>
      </c>
      <c r="H50" s="34">
        <f>G50</f>
        <v>0</v>
      </c>
      <c r="I50" s="34">
        <f>I48*I49</f>
        <v>0</v>
      </c>
      <c r="J50" s="73"/>
      <c r="K50" s="73"/>
      <c r="L50" s="73"/>
      <c r="M50" s="34">
        <f>M49*M48</f>
        <v>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>
      <c r="A51" s="21"/>
      <c r="B51" s="21"/>
      <c r="C51" s="32"/>
      <c r="D51" s="22" t="s">
        <v>246</v>
      </c>
      <c r="E51" s="75"/>
      <c r="F51" s="41">
        <f>F50*'Background data'!$D$9</f>
        <v>0</v>
      </c>
      <c r="G51" s="41">
        <f>G50*'Background data'!$D$9</f>
        <v>0</v>
      </c>
      <c r="H51" s="41">
        <f>G51</f>
        <v>0</v>
      </c>
      <c r="I51" s="41">
        <f>I50*'Background data'!$D$9</f>
        <v>0</v>
      </c>
      <c r="J51" s="75"/>
      <c r="K51" s="75"/>
      <c r="L51" s="75"/>
      <c r="M51" s="41">
        <f>M50*'Background data'!$D$9</f>
        <v>0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</row>
    <row r="52" spans="1:46">
      <c r="A52" s="21"/>
      <c r="B52" s="21"/>
      <c r="C52" s="32"/>
      <c r="D52" s="22"/>
      <c r="E52" s="76"/>
      <c r="F52" s="26"/>
      <c r="G52" s="26"/>
      <c r="H52" s="26"/>
      <c r="I52" s="26"/>
      <c r="J52" s="76"/>
      <c r="K52" s="76"/>
      <c r="L52" s="76"/>
      <c r="M52" s="26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</row>
    <row r="53" spans="1:46">
      <c r="A53" s="21"/>
      <c r="B53" s="21"/>
      <c r="C53" s="33"/>
      <c r="D53" s="44" t="s">
        <v>261</v>
      </c>
      <c r="E53" s="77"/>
      <c r="F53" s="42">
        <f>'Background data'!$D$7*'TECHNOLOGY DATA'!F49</f>
        <v>0</v>
      </c>
      <c r="G53" s="42">
        <f>'Background data'!$D$7*'TECHNOLOGY DATA'!G49</f>
        <v>0</v>
      </c>
      <c r="H53" s="42">
        <f>G53</f>
        <v>0</v>
      </c>
      <c r="I53" s="42">
        <f>'Background data'!$D$7*'TECHNOLOGY DATA'!I49</f>
        <v>0</v>
      </c>
      <c r="J53" s="77"/>
      <c r="K53" s="77"/>
      <c r="L53" s="77"/>
      <c r="M53" s="42">
        <f>'Background data'!$D$7*'TECHNOLOGY DATA'!M49</f>
        <v>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/>
    <row r="55" spans="1:46"/>
    <row r="56" spans="1:46"/>
    <row r="57" spans="1:46"/>
    <row r="58" spans="1:46"/>
    <row r="59" spans="1:46"/>
    <row r="60" spans="1:46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552A6-16EF-49AF-96DF-B6B58068BE84}">
  <sheetPr codeName="Sheet9"/>
  <dimension ref="A1"/>
  <sheetViews>
    <sheetView topLeftCell="XFD1" workbookViewId="0">
      <selection activeCell="B30" sqref="B30"/>
    </sheetView>
  </sheetViews>
  <sheetFormatPr defaultColWidth="0" defaultRowHeight="14.45"/>
  <cols>
    <col min="1" max="16384" width="8.7109375" hidden="1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9F976-0F30-4321-811D-8D2267D24A8F}">
  <sheetPr codeName="Sheet10"/>
  <dimension ref="A1:I6"/>
  <sheetViews>
    <sheetView showGridLines="0" workbookViewId="0">
      <selection activeCell="B30" sqref="B30"/>
    </sheetView>
  </sheetViews>
  <sheetFormatPr defaultRowHeight="14.45"/>
  <cols>
    <col min="1" max="1" width="16.42578125" bestFit="1" customWidth="1"/>
    <col min="2" max="2" width="7.7109375" bestFit="1" customWidth="1"/>
    <col min="3" max="3" width="19" customWidth="1"/>
    <col min="4" max="4" width="6.7109375" bestFit="1" customWidth="1"/>
    <col min="5" max="5" width="5.7109375" bestFit="1" customWidth="1"/>
    <col min="6" max="6" width="4.140625" bestFit="1" customWidth="1"/>
    <col min="7" max="7" width="1.7109375" bestFit="1" customWidth="1"/>
    <col min="8" max="8" width="15.85546875" customWidth="1"/>
    <col min="9" max="9" width="42.7109375" customWidth="1"/>
  </cols>
  <sheetData>
    <row r="1" spans="1:9">
      <c r="H1" t="s">
        <v>262</v>
      </c>
    </row>
    <row r="2" spans="1:9" ht="28.9">
      <c r="A2" s="8" t="s">
        <v>263</v>
      </c>
      <c r="B2" s="9" t="s">
        <v>264</v>
      </c>
      <c r="C2" s="9" t="s">
        <v>265</v>
      </c>
      <c r="D2" s="10">
        <v>90</v>
      </c>
      <c r="E2" s="9" t="s">
        <v>266</v>
      </c>
      <c r="F2" s="9" t="s">
        <v>267</v>
      </c>
      <c r="G2" s="9" t="s">
        <v>268</v>
      </c>
      <c r="H2">
        <f>90/(3*30)</f>
        <v>1</v>
      </c>
    </row>
    <row r="3" spans="1:9" ht="28.9">
      <c r="A3" s="8" t="s">
        <v>269</v>
      </c>
      <c r="B3" s="9" t="s">
        <v>270</v>
      </c>
      <c r="C3" s="9" t="s">
        <v>271</v>
      </c>
      <c r="D3" s="10">
        <v>22.08</v>
      </c>
      <c r="E3" s="9" t="s">
        <v>272</v>
      </c>
      <c r="F3" s="9" t="s">
        <v>267</v>
      </c>
      <c r="G3" s="9" t="s">
        <v>268</v>
      </c>
      <c r="H3">
        <f>22.08/50</f>
        <v>0.44159999999999999</v>
      </c>
      <c r="I3" s="13" t="s">
        <v>273</v>
      </c>
    </row>
    <row r="6" spans="1:9">
      <c r="A6" s="18" t="s">
        <v>274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C1929-8888-4454-B846-A4BADD1AFDDD}">
  <sheetPr codeName="Sheet11"/>
  <dimension ref="B3:E21"/>
  <sheetViews>
    <sheetView showGridLines="0" topLeftCell="A4" workbookViewId="0">
      <selection activeCell="B30" sqref="B30"/>
    </sheetView>
  </sheetViews>
  <sheetFormatPr defaultRowHeight="14.45"/>
  <cols>
    <col min="2" max="2" width="16.7109375" bestFit="1" customWidth="1"/>
    <col min="3" max="3" width="10.7109375" bestFit="1" customWidth="1"/>
  </cols>
  <sheetData>
    <row r="3" spans="2:5">
      <c r="B3" s="2" t="s">
        <v>275</v>
      </c>
    </row>
    <row r="4" spans="2:5">
      <c r="B4" s="3" t="s">
        <v>276</v>
      </c>
    </row>
    <row r="5" spans="2:5">
      <c r="B5" t="s">
        <v>277</v>
      </c>
      <c r="C5">
        <v>100</v>
      </c>
      <c r="D5" t="s">
        <v>278</v>
      </c>
    </row>
    <row r="6" spans="2:5">
      <c r="B6" t="s">
        <v>279</v>
      </c>
      <c r="C6">
        <v>12000</v>
      </c>
      <c r="D6" t="s">
        <v>280</v>
      </c>
    </row>
    <row r="7" spans="2:5">
      <c r="B7" t="s">
        <v>281</v>
      </c>
      <c r="C7">
        <f>AVERAGE(C5:C6)</f>
        <v>6050</v>
      </c>
    </row>
    <row r="9" spans="2:5">
      <c r="B9" s="3" t="s">
        <v>89</v>
      </c>
    </row>
    <row r="10" spans="2:5">
      <c r="C10" t="s">
        <v>282</v>
      </c>
      <c r="D10" t="s">
        <v>283</v>
      </c>
      <c r="E10" t="s">
        <v>85</v>
      </c>
    </row>
    <row r="11" spans="2:5">
      <c r="B11" t="s">
        <v>284</v>
      </c>
      <c r="C11">
        <v>1.2</v>
      </c>
      <c r="D11">
        <v>1.2</v>
      </c>
      <c r="E11" s="12" t="s">
        <v>285</v>
      </c>
    </row>
    <row r="12" spans="2:5">
      <c r="B12" t="s">
        <v>286</v>
      </c>
      <c r="C12">
        <v>3</v>
      </c>
      <c r="D12">
        <v>4</v>
      </c>
      <c r="E12" t="s">
        <v>287</v>
      </c>
    </row>
    <row r="13" spans="2:5">
      <c r="B13" t="s">
        <v>288</v>
      </c>
      <c r="C13">
        <f>C12/60</f>
        <v>0.05</v>
      </c>
      <c r="D13">
        <f>D12/60</f>
        <v>6.6666666666666666E-2</v>
      </c>
    </row>
    <row r="14" spans="2:5">
      <c r="B14" t="s">
        <v>92</v>
      </c>
      <c r="C14">
        <f>'Background data'!D9</f>
        <v>0.15</v>
      </c>
      <c r="D14">
        <f>'Background data'!D9</f>
        <v>0.15</v>
      </c>
      <c r="E14" t="s">
        <v>289</v>
      </c>
    </row>
    <row r="15" spans="2:5">
      <c r="C15">
        <f>C11*C13*C14</f>
        <v>8.9999999999999993E-3</v>
      </c>
      <c r="D15">
        <f>D11*D13*D14</f>
        <v>1.2E-2</v>
      </c>
    </row>
    <row r="17" spans="2:4">
      <c r="B17" s="3" t="s">
        <v>86</v>
      </c>
    </row>
    <row r="18" spans="2:4">
      <c r="C18" t="s">
        <v>290</v>
      </c>
      <c r="D18" t="s">
        <v>291</v>
      </c>
    </row>
    <row r="19" spans="2:4">
      <c r="B19" t="s">
        <v>288</v>
      </c>
      <c r="C19">
        <f>C13</f>
        <v>0.05</v>
      </c>
      <c r="D19">
        <f>D13</f>
        <v>6.6666666666666666E-2</v>
      </c>
    </row>
    <row r="20" spans="2:4">
      <c r="B20" t="s">
        <v>87</v>
      </c>
      <c r="C20">
        <f>'Background data'!D7</f>
        <v>29.1</v>
      </c>
      <c r="D20">
        <f>'Background data'!D7</f>
        <v>29.1</v>
      </c>
    </row>
    <row r="21" spans="2:4">
      <c r="C21">
        <f>C20*C19</f>
        <v>1.4550000000000001</v>
      </c>
      <c r="D21">
        <f>D20*D19</f>
        <v>1.9400000000000002</v>
      </c>
    </row>
  </sheetData>
  <hyperlinks>
    <hyperlink ref="E11" r:id="rId1" xr:uid="{FD2640B6-A172-494C-80D2-2CEB230A0B13}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3A285-66D7-4A21-8B45-6A85854A90FA}">
  <sheetPr codeName="Sheet12"/>
  <dimension ref="B3:E21"/>
  <sheetViews>
    <sheetView showGridLines="0" topLeftCell="A11" workbookViewId="0">
      <selection activeCell="B30" sqref="B30"/>
    </sheetView>
  </sheetViews>
  <sheetFormatPr defaultRowHeight="14.45"/>
  <cols>
    <col min="2" max="2" width="16.7109375" bestFit="1" customWidth="1"/>
    <col min="3" max="3" width="10.7109375" bestFit="1" customWidth="1"/>
  </cols>
  <sheetData>
    <row r="3" spans="2:5">
      <c r="B3" s="2" t="s">
        <v>292</v>
      </c>
    </row>
    <row r="4" spans="2:5">
      <c r="B4" s="3" t="s">
        <v>276</v>
      </c>
    </row>
    <row r="5" spans="2:5">
      <c r="B5" t="s">
        <v>277</v>
      </c>
      <c r="C5">
        <v>4000</v>
      </c>
      <c r="D5" s="12" t="s">
        <v>293</v>
      </c>
    </row>
    <row r="6" spans="2:5">
      <c r="B6" t="s">
        <v>279</v>
      </c>
      <c r="D6" s="12" t="s">
        <v>294</v>
      </c>
    </row>
    <row r="7" spans="2:5">
      <c r="B7" t="s">
        <v>281</v>
      </c>
      <c r="C7">
        <f>AVERAGE(C5:C6)</f>
        <v>4000</v>
      </c>
    </row>
    <row r="9" spans="2:5">
      <c r="B9" s="3" t="s">
        <v>89</v>
      </c>
    </row>
    <row r="10" spans="2:5">
      <c r="C10" t="s">
        <v>282</v>
      </c>
      <c r="D10" t="s">
        <v>283</v>
      </c>
      <c r="E10" t="s">
        <v>85</v>
      </c>
    </row>
    <row r="11" spans="2:5">
      <c r="B11" t="s">
        <v>284</v>
      </c>
      <c r="C11">
        <v>14</v>
      </c>
      <c r="D11">
        <v>14</v>
      </c>
      <c r="E11" s="12" t="s">
        <v>294</v>
      </c>
    </row>
    <row r="12" spans="2:5">
      <c r="B12" t="s">
        <v>286</v>
      </c>
      <c r="C12">
        <v>1</v>
      </c>
      <c r="D12">
        <v>1</v>
      </c>
    </row>
    <row r="13" spans="2:5">
      <c r="B13" t="s">
        <v>288</v>
      </c>
      <c r="C13">
        <f>C12/60</f>
        <v>1.6666666666666666E-2</v>
      </c>
      <c r="D13">
        <f>D12/60</f>
        <v>1.6666666666666666E-2</v>
      </c>
    </row>
    <row r="14" spans="2:5">
      <c r="B14" t="s">
        <v>92</v>
      </c>
      <c r="C14">
        <f>'Background data'!D9</f>
        <v>0.15</v>
      </c>
      <c r="D14">
        <f>'Background data'!D9</f>
        <v>0.15</v>
      </c>
      <c r="E14" t="s">
        <v>289</v>
      </c>
    </row>
    <row r="15" spans="2:5">
      <c r="C15">
        <f>C11*C13*C14</f>
        <v>3.4999999999999996E-2</v>
      </c>
      <c r="D15">
        <f>D11*D13*D14</f>
        <v>3.4999999999999996E-2</v>
      </c>
    </row>
    <row r="17" spans="2:4">
      <c r="B17" s="3" t="s">
        <v>86</v>
      </c>
    </row>
    <row r="18" spans="2:4">
      <c r="C18" t="s">
        <v>290</v>
      </c>
      <c r="D18" t="s">
        <v>291</v>
      </c>
    </row>
    <row r="19" spans="2:4">
      <c r="B19" t="s">
        <v>288</v>
      </c>
      <c r="C19">
        <f>C13</f>
        <v>1.6666666666666666E-2</v>
      </c>
      <c r="D19">
        <f>D13</f>
        <v>1.6666666666666666E-2</v>
      </c>
    </row>
    <row r="20" spans="2:4">
      <c r="B20" t="s">
        <v>87</v>
      </c>
      <c r="C20">
        <f>'Background data'!$D$7</f>
        <v>29.1</v>
      </c>
      <c r="D20">
        <f>'Background data'!$D$7</f>
        <v>29.1</v>
      </c>
    </row>
    <row r="21" spans="2:4">
      <c r="C21">
        <f>C20*C19</f>
        <v>0.48500000000000004</v>
      </c>
      <c r="D21">
        <f>D20*D19</f>
        <v>0.48500000000000004</v>
      </c>
    </row>
  </sheetData>
  <hyperlinks>
    <hyperlink ref="D5" r:id="rId1" xr:uid="{5B4A13D1-445A-4B7A-B122-B8BFBB4861E3}"/>
    <hyperlink ref="D6" r:id="rId2" xr:uid="{D0B3110C-BA6D-4969-9B0D-9DEBB8BD5FDE}"/>
    <hyperlink ref="E11" r:id="rId3" xr:uid="{9492B112-987B-4F51-BA4D-47E4EB31A46E}"/>
  </hyperlinks>
  <pageMargins left="0.7" right="0.7" top="0.75" bottom="0.75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3BABD-6E9B-4A31-8B50-BF25C8BC3C1B}">
  <sheetPr codeName="Sheet14"/>
  <dimension ref="B2:G33"/>
  <sheetViews>
    <sheetView showGridLines="0" topLeftCell="A19" workbookViewId="0">
      <selection activeCell="B30" sqref="B30"/>
    </sheetView>
  </sheetViews>
  <sheetFormatPr defaultRowHeight="14.45"/>
  <cols>
    <col min="2" max="2" width="21" bestFit="1" customWidth="1"/>
    <col min="4" max="4" width="5.7109375" bestFit="1" customWidth="1"/>
    <col min="5" max="5" width="10.28515625" bestFit="1" customWidth="1"/>
    <col min="6" max="6" width="4.140625" bestFit="1" customWidth="1"/>
    <col min="7" max="7" width="8.42578125" bestFit="1" customWidth="1"/>
  </cols>
  <sheetData>
    <row r="2" spans="2:7">
      <c r="B2" s="2" t="s">
        <v>295</v>
      </c>
    </row>
    <row r="4" spans="2:7">
      <c r="C4" t="s">
        <v>282</v>
      </c>
      <c r="D4" t="s">
        <v>283</v>
      </c>
      <c r="E4" t="s">
        <v>85</v>
      </c>
    </row>
    <row r="5" spans="2:7">
      <c r="B5" t="s">
        <v>296</v>
      </c>
      <c r="C5">
        <v>9500</v>
      </c>
      <c r="D5">
        <v>9500</v>
      </c>
      <c r="E5" t="s">
        <v>297</v>
      </c>
    </row>
    <row r="6" spans="2:7">
      <c r="B6" t="s">
        <v>298</v>
      </c>
      <c r="C6">
        <v>38</v>
      </c>
      <c r="D6">
        <v>38</v>
      </c>
      <c r="E6" t="s">
        <v>297</v>
      </c>
    </row>
    <row r="7" spans="2:7">
      <c r="B7" t="s">
        <v>299</v>
      </c>
      <c r="C7">
        <v>0.1</v>
      </c>
      <c r="D7">
        <v>1</v>
      </c>
      <c r="E7" t="s">
        <v>300</v>
      </c>
    </row>
    <row r="8" spans="2:7">
      <c r="B8" t="s">
        <v>301</v>
      </c>
      <c r="C8">
        <f>C6/1000*C7</f>
        <v>3.8E-3</v>
      </c>
      <c r="D8">
        <f>D6/1000*D7</f>
        <v>3.7999999999999999E-2</v>
      </c>
    </row>
    <row r="10" spans="2:7">
      <c r="B10" s="7" t="s">
        <v>302</v>
      </c>
    </row>
    <row r="11" spans="2:7">
      <c r="B11" s="7"/>
    </row>
    <row r="12" spans="2:7">
      <c r="B12" s="3" t="s">
        <v>276</v>
      </c>
    </row>
    <row r="13" spans="2:7">
      <c r="B13" t="s">
        <v>303</v>
      </c>
    </row>
    <row r="14" spans="2:7" ht="43.15">
      <c r="B14" s="8" t="s">
        <v>304</v>
      </c>
      <c r="C14" s="9" t="s">
        <v>305</v>
      </c>
      <c r="D14" s="9" t="s">
        <v>306</v>
      </c>
      <c r="E14" s="10">
        <v>21839</v>
      </c>
      <c r="F14" s="9" t="s">
        <v>267</v>
      </c>
      <c r="G14" s="9" t="s">
        <v>307</v>
      </c>
    </row>
    <row r="15" spans="2:7" ht="28.9">
      <c r="B15" s="8" t="s">
        <v>308</v>
      </c>
      <c r="C15" s="9" t="s">
        <v>309</v>
      </c>
      <c r="D15" s="9" t="s">
        <v>306</v>
      </c>
      <c r="E15" s="10">
        <v>33100</v>
      </c>
      <c r="F15" s="9" t="s">
        <v>267</v>
      </c>
      <c r="G15" s="9" t="s">
        <v>310</v>
      </c>
    </row>
    <row r="19" spans="2:5">
      <c r="B19" s="3" t="s">
        <v>89</v>
      </c>
    </row>
    <row r="20" spans="2:5">
      <c r="C20" t="s">
        <v>282</v>
      </c>
      <c r="D20" t="s">
        <v>283</v>
      </c>
      <c r="E20" t="s">
        <v>85</v>
      </c>
    </row>
    <row r="21" spans="2:5">
      <c r="B21" t="s">
        <v>284</v>
      </c>
      <c r="C21">
        <v>6.4</v>
      </c>
      <c r="D21">
        <v>8.6999999999999993</v>
      </c>
      <c r="E21" t="s">
        <v>311</v>
      </c>
    </row>
    <row r="22" spans="2:5">
      <c r="B22" t="s">
        <v>286</v>
      </c>
      <c r="C22">
        <v>10</v>
      </c>
      <c r="D22">
        <v>90</v>
      </c>
      <c r="E22" t="s">
        <v>287</v>
      </c>
    </row>
    <row r="23" spans="2:5">
      <c r="B23" t="s">
        <v>288</v>
      </c>
      <c r="C23">
        <f>C22/60</f>
        <v>0.16666666666666666</v>
      </c>
      <c r="D23">
        <f>D22/60</f>
        <v>1.5</v>
      </c>
    </row>
    <row r="24" spans="2:5">
      <c r="B24" t="s">
        <v>92</v>
      </c>
      <c r="C24">
        <f>'Background data'!$D$9</f>
        <v>0.15</v>
      </c>
      <c r="D24">
        <f>'Background data'!$D$9</f>
        <v>0.15</v>
      </c>
      <c r="E24" t="s">
        <v>289</v>
      </c>
    </row>
    <row r="25" spans="2:5">
      <c r="C25">
        <f>C21*C23*C24</f>
        <v>0.16</v>
      </c>
      <c r="D25">
        <f>D21*D23*D24</f>
        <v>1.9574999999999998</v>
      </c>
    </row>
    <row r="29" spans="2:5">
      <c r="B29" s="3" t="s">
        <v>86</v>
      </c>
    </row>
    <row r="30" spans="2:5">
      <c r="C30" t="s">
        <v>290</v>
      </c>
      <c r="D30" t="s">
        <v>291</v>
      </c>
    </row>
    <row r="31" spans="2:5">
      <c r="B31" t="s">
        <v>288</v>
      </c>
      <c r="C31">
        <f>C23</f>
        <v>0.16666666666666666</v>
      </c>
      <c r="D31">
        <f>D23</f>
        <v>1.5</v>
      </c>
    </row>
    <row r="32" spans="2:5">
      <c r="B32" t="s">
        <v>87</v>
      </c>
      <c r="C32">
        <f>'Background data'!$D$7</f>
        <v>29.1</v>
      </c>
      <c r="D32">
        <f>'Background data'!$D$7</f>
        <v>29.1</v>
      </c>
    </row>
    <row r="33" spans="3:4">
      <c r="C33">
        <f>C32*C31</f>
        <v>4.8499999999999996</v>
      </c>
      <c r="D33">
        <f>D32*D31</f>
        <v>43.650000000000006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D1C4-F17D-42BA-88B4-C5669288A938}">
  <sheetPr codeName="Sheet15"/>
  <dimension ref="B2:E32"/>
  <sheetViews>
    <sheetView showGridLines="0" topLeftCell="A9" workbookViewId="0">
      <selection activeCell="B30" sqref="B30"/>
    </sheetView>
  </sheetViews>
  <sheetFormatPr defaultRowHeight="14.45"/>
  <cols>
    <col min="2" max="2" width="21" bestFit="1" customWidth="1"/>
    <col min="4" max="4" width="5.7109375" bestFit="1" customWidth="1"/>
    <col min="5" max="5" width="10.28515625" bestFit="1" customWidth="1"/>
    <col min="6" max="6" width="4.140625" bestFit="1" customWidth="1"/>
    <col min="7" max="7" width="8.42578125" bestFit="1" customWidth="1"/>
  </cols>
  <sheetData>
    <row r="2" spans="2:5">
      <c r="B2" s="2" t="s">
        <v>312</v>
      </c>
    </row>
    <row r="4" spans="2:5">
      <c r="C4" t="s">
        <v>282</v>
      </c>
      <c r="D4" t="s">
        <v>283</v>
      </c>
      <c r="E4" t="s">
        <v>85</v>
      </c>
    </row>
    <row r="5" spans="2:5">
      <c r="B5" t="s">
        <v>296</v>
      </c>
      <c r="C5">
        <v>9500</v>
      </c>
      <c r="D5">
        <v>9500</v>
      </c>
      <c r="E5" t="s">
        <v>297</v>
      </c>
    </row>
    <row r="6" spans="2:5">
      <c r="B6" t="s">
        <v>313</v>
      </c>
      <c r="C6">
        <v>25</v>
      </c>
      <c r="D6">
        <v>25</v>
      </c>
      <c r="E6" t="s">
        <v>297</v>
      </c>
    </row>
    <row r="7" spans="2:5">
      <c r="B7" t="s">
        <v>299</v>
      </c>
      <c r="C7">
        <v>0.1</v>
      </c>
      <c r="D7">
        <v>1</v>
      </c>
      <c r="E7" t="s">
        <v>314</v>
      </c>
    </row>
    <row r="8" spans="2:5">
      <c r="B8" t="s">
        <v>301</v>
      </c>
      <c r="C8">
        <f>C6/1000*C7</f>
        <v>2.5000000000000005E-3</v>
      </c>
      <c r="D8">
        <f>D6/1000*D7</f>
        <v>2.5000000000000001E-2</v>
      </c>
    </row>
    <row r="10" spans="2:5">
      <c r="B10" s="7" t="s">
        <v>302</v>
      </c>
    </row>
    <row r="11" spans="2:5">
      <c r="B11" s="7"/>
    </row>
    <row r="12" spans="2:5">
      <c r="B12" s="3" t="s">
        <v>276</v>
      </c>
    </row>
    <row r="13" spans="2:5">
      <c r="B13" t="s">
        <v>303</v>
      </c>
    </row>
    <row r="14" spans="2:5" ht="72">
      <c r="B14" s="8" t="s">
        <v>315</v>
      </c>
      <c r="C14" s="9" t="s">
        <v>316</v>
      </c>
      <c r="D14" s="9" t="s">
        <v>317</v>
      </c>
      <c r="E14" s="10">
        <v>24600.5</v>
      </c>
    </row>
    <row r="15" spans="2:5" ht="28.9">
      <c r="B15" s="8" t="s">
        <v>318</v>
      </c>
      <c r="C15" s="9" t="s">
        <v>319</v>
      </c>
      <c r="D15" s="9" t="s">
        <v>317</v>
      </c>
      <c r="E15" s="10">
        <v>2000</v>
      </c>
    </row>
    <row r="18" spans="2:5">
      <c r="B18" s="3" t="s">
        <v>89</v>
      </c>
    </row>
    <row r="19" spans="2:5">
      <c r="C19" t="s">
        <v>282</v>
      </c>
      <c r="D19" t="s">
        <v>283</v>
      </c>
      <c r="E19" t="s">
        <v>85</v>
      </c>
    </row>
    <row r="20" spans="2:5">
      <c r="B20" t="s">
        <v>284</v>
      </c>
      <c r="C20" s="11">
        <v>11.875</v>
      </c>
      <c r="D20" s="11">
        <v>11.875</v>
      </c>
      <c r="E20" t="s">
        <v>311</v>
      </c>
    </row>
    <row r="21" spans="2:5">
      <c r="B21" t="s">
        <v>286</v>
      </c>
      <c r="C21">
        <v>0.5</v>
      </c>
      <c r="D21">
        <v>20</v>
      </c>
      <c r="E21" t="s">
        <v>320</v>
      </c>
    </row>
    <row r="22" spans="2:5">
      <c r="B22" t="s">
        <v>288</v>
      </c>
      <c r="C22">
        <f>C21/60</f>
        <v>8.3333333333333332E-3</v>
      </c>
      <c r="D22">
        <f>D21/60</f>
        <v>0.33333333333333331</v>
      </c>
    </row>
    <row r="23" spans="2:5">
      <c r="B23" t="s">
        <v>92</v>
      </c>
      <c r="C23">
        <f>'Background data'!$D$9</f>
        <v>0.15</v>
      </c>
      <c r="D23">
        <f>'Background data'!$D$9</f>
        <v>0.15</v>
      </c>
      <c r="E23" t="s">
        <v>289</v>
      </c>
    </row>
    <row r="24" spans="2:5">
      <c r="C24">
        <f>C20*C22*C23</f>
        <v>1.4843749999999999E-2</v>
      </c>
      <c r="D24">
        <f>D20*D22*D23</f>
        <v>0.59374999999999989</v>
      </c>
    </row>
    <row r="28" spans="2:5">
      <c r="B28" s="3" t="s">
        <v>86</v>
      </c>
    </row>
    <row r="29" spans="2:5">
      <c r="C29" t="s">
        <v>290</v>
      </c>
      <c r="D29" t="s">
        <v>291</v>
      </c>
    </row>
    <row r="30" spans="2:5">
      <c r="B30" t="s">
        <v>288</v>
      </c>
      <c r="C30">
        <f>C22</f>
        <v>8.3333333333333332E-3</v>
      </c>
      <c r="D30">
        <f>D22</f>
        <v>0.33333333333333331</v>
      </c>
    </row>
    <row r="31" spans="2:5">
      <c r="B31" t="s">
        <v>87</v>
      </c>
      <c r="C31">
        <f>'Background data'!$D$7</f>
        <v>29.1</v>
      </c>
      <c r="D31">
        <f>'Background data'!$D$7</f>
        <v>29.1</v>
      </c>
    </row>
    <row r="32" spans="2:5">
      <c r="C32">
        <f>C31*C30</f>
        <v>0.24250000000000002</v>
      </c>
      <c r="D32">
        <f>D31*D30</f>
        <v>9.6999999999999993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4D41-A0F2-4B65-A5B1-B802CB1A491A}">
  <sheetPr codeName="Sheet16"/>
  <dimension ref="B3:G25"/>
  <sheetViews>
    <sheetView showGridLines="0" workbookViewId="0">
      <selection activeCell="B30" sqref="B30"/>
    </sheetView>
  </sheetViews>
  <sheetFormatPr defaultRowHeight="14.45"/>
  <cols>
    <col min="2" max="2" width="21" bestFit="1" customWidth="1"/>
    <col min="4" max="4" width="5.7109375" bestFit="1" customWidth="1"/>
    <col min="5" max="5" width="10.28515625" bestFit="1" customWidth="1"/>
    <col min="6" max="6" width="4.140625" bestFit="1" customWidth="1"/>
    <col min="7" max="7" width="8.42578125" bestFit="1" customWidth="1"/>
  </cols>
  <sheetData>
    <row r="3" spans="2:7">
      <c r="B3" s="7" t="s">
        <v>321</v>
      </c>
    </row>
    <row r="4" spans="2:7">
      <c r="B4" s="7"/>
    </row>
    <row r="5" spans="2:7">
      <c r="B5" s="3" t="s">
        <v>276</v>
      </c>
    </row>
    <row r="6" spans="2:7">
      <c r="B6" t="s">
        <v>303</v>
      </c>
    </row>
    <row r="7" spans="2:7" ht="43.15">
      <c r="B7" s="8" t="s">
        <v>304</v>
      </c>
      <c r="C7" s="9" t="s">
        <v>305</v>
      </c>
      <c r="D7" s="9" t="s">
        <v>306</v>
      </c>
      <c r="E7" s="10">
        <v>21839</v>
      </c>
      <c r="F7" s="9" t="s">
        <v>267</v>
      </c>
      <c r="G7" s="9" t="s">
        <v>307</v>
      </c>
    </row>
    <row r="8" spans="2:7" ht="28.9">
      <c r="B8" s="8" t="s">
        <v>308</v>
      </c>
      <c r="C8" s="9" t="s">
        <v>309</v>
      </c>
      <c r="D8" s="9" t="s">
        <v>306</v>
      </c>
      <c r="E8" s="10">
        <v>33100</v>
      </c>
      <c r="F8" s="9" t="s">
        <v>267</v>
      </c>
      <c r="G8" s="9" t="s">
        <v>310</v>
      </c>
    </row>
    <row r="11" spans="2:7">
      <c r="B11" s="3" t="s">
        <v>89</v>
      </c>
    </row>
    <row r="12" spans="2:7">
      <c r="C12" t="s">
        <v>282</v>
      </c>
      <c r="D12" t="s">
        <v>283</v>
      </c>
      <c r="E12" t="s">
        <v>85</v>
      </c>
    </row>
    <row r="13" spans="2:7">
      <c r="B13" t="s">
        <v>284</v>
      </c>
      <c r="C13">
        <v>6.4</v>
      </c>
      <c r="D13">
        <v>8.6999999999999993</v>
      </c>
      <c r="E13" t="s">
        <v>311</v>
      </c>
    </row>
    <row r="14" spans="2:7">
      <c r="B14" t="s">
        <v>286</v>
      </c>
      <c r="C14">
        <v>10</v>
      </c>
      <c r="D14">
        <v>90</v>
      </c>
      <c r="E14" t="s">
        <v>320</v>
      </c>
    </row>
    <row r="15" spans="2:7">
      <c r="B15" t="s">
        <v>288</v>
      </c>
      <c r="C15">
        <f>C14/60</f>
        <v>0.16666666666666666</v>
      </c>
      <c r="D15">
        <f>D14/60</f>
        <v>1.5</v>
      </c>
    </row>
    <row r="16" spans="2:7">
      <c r="B16" t="s">
        <v>92</v>
      </c>
      <c r="C16">
        <f>'Background data'!$D$9</f>
        <v>0.15</v>
      </c>
      <c r="D16">
        <f>'Background data'!$D$9</f>
        <v>0.15</v>
      </c>
      <c r="E16" t="s">
        <v>289</v>
      </c>
    </row>
    <row r="17" spans="2:4">
      <c r="C17">
        <f>C13*C15*C16</f>
        <v>0.16</v>
      </c>
      <c r="D17">
        <f>D13*D15*D16</f>
        <v>1.9574999999999998</v>
      </c>
    </row>
    <row r="21" spans="2:4">
      <c r="B21" s="3" t="s">
        <v>86</v>
      </c>
    </row>
    <row r="22" spans="2:4">
      <c r="C22" t="s">
        <v>290</v>
      </c>
      <c r="D22" t="s">
        <v>291</v>
      </c>
    </row>
    <row r="23" spans="2:4">
      <c r="B23" t="s">
        <v>288</v>
      </c>
      <c r="C23">
        <f>C15</f>
        <v>0.16666666666666666</v>
      </c>
      <c r="D23">
        <f>D15</f>
        <v>1.5</v>
      </c>
    </row>
    <row r="24" spans="2:4">
      <c r="B24" t="s">
        <v>87</v>
      </c>
      <c r="C24">
        <f>'Background data'!$D$7</f>
        <v>29.1</v>
      </c>
      <c r="D24">
        <f>'Background data'!$D$7</f>
        <v>29.1</v>
      </c>
    </row>
    <row r="25" spans="2:4">
      <c r="C25">
        <f>C24*C23</f>
        <v>4.8499999999999996</v>
      </c>
      <c r="D25">
        <f>D24*D23</f>
        <v>43.650000000000006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392A2-1017-4442-B583-6326C218DA21}">
  <sheetPr codeName="Sheet17"/>
  <dimension ref="B2:F46"/>
  <sheetViews>
    <sheetView showGridLines="0" workbookViewId="0">
      <selection activeCell="B30" sqref="B30"/>
    </sheetView>
  </sheetViews>
  <sheetFormatPr defaultRowHeight="14.45"/>
  <cols>
    <col min="2" max="2" width="16.7109375" bestFit="1" customWidth="1"/>
    <col min="3" max="3" width="11.7109375" bestFit="1" customWidth="1"/>
  </cols>
  <sheetData>
    <row r="2" spans="2:6">
      <c r="B2" s="2" t="s">
        <v>322</v>
      </c>
    </row>
    <row r="7" spans="2:6">
      <c r="B7" s="2" t="s">
        <v>323</v>
      </c>
    </row>
    <row r="8" spans="2:6">
      <c r="B8" s="3" t="s">
        <v>276</v>
      </c>
    </row>
    <row r="9" spans="2:6">
      <c r="B9" t="s">
        <v>277</v>
      </c>
      <c r="C9">
        <v>125</v>
      </c>
      <c r="D9" t="s">
        <v>324</v>
      </c>
    </row>
    <row r="10" spans="2:6">
      <c r="B10" t="s">
        <v>279</v>
      </c>
      <c r="C10">
        <v>775</v>
      </c>
      <c r="D10" t="s">
        <v>325</v>
      </c>
    </row>
    <row r="11" spans="2:6">
      <c r="B11" t="s">
        <v>281</v>
      </c>
      <c r="C11">
        <f>AVERAGE(C9:C10)</f>
        <v>450</v>
      </c>
    </row>
    <row r="13" spans="2:6">
      <c r="B13" t="s">
        <v>326</v>
      </c>
      <c r="C13" s="1">
        <v>100000</v>
      </c>
      <c r="D13" t="s">
        <v>327</v>
      </c>
      <c r="F13" t="s">
        <v>328</v>
      </c>
    </row>
    <row r="15" spans="2:6">
      <c r="B15" t="s">
        <v>329</v>
      </c>
      <c r="C15" s="5">
        <f>C9/C13</f>
        <v>1.25E-3</v>
      </c>
    </row>
    <row r="17" spans="2:4">
      <c r="B17" s="3" t="s">
        <v>89</v>
      </c>
    </row>
    <row r="18" spans="2:4">
      <c r="B18" t="s">
        <v>330</v>
      </c>
      <c r="C18">
        <v>45</v>
      </c>
      <c r="D18" t="s">
        <v>331</v>
      </c>
    </row>
    <row r="19" spans="2:4">
      <c r="B19" t="s">
        <v>332</v>
      </c>
      <c r="C19">
        <v>2.5</v>
      </c>
      <c r="D19" t="s">
        <v>324</v>
      </c>
    </row>
    <row r="20" spans="2:4">
      <c r="B20" t="s">
        <v>333</v>
      </c>
      <c r="C20">
        <v>10</v>
      </c>
      <c r="D20" t="s">
        <v>331</v>
      </c>
    </row>
    <row r="21" spans="2:4">
      <c r="B21" t="s">
        <v>334</v>
      </c>
      <c r="C21">
        <f>C18*C19</f>
        <v>112.5</v>
      </c>
      <c r="D21" t="s">
        <v>335</v>
      </c>
    </row>
    <row r="22" spans="2:4">
      <c r="B22" t="s">
        <v>336</v>
      </c>
      <c r="C22">
        <f>C21*C20</f>
        <v>1125</v>
      </c>
      <c r="D22" t="s">
        <v>337</v>
      </c>
    </row>
    <row r="23" spans="2:4">
      <c r="B23" t="s">
        <v>150</v>
      </c>
      <c r="C23">
        <v>3.1250000000000001E-4</v>
      </c>
    </row>
    <row r="24" spans="2:4">
      <c r="B24" t="s">
        <v>92</v>
      </c>
      <c r="C24">
        <f>'Background data'!$D$9</f>
        <v>0.15</v>
      </c>
    </row>
    <row r="25" spans="2:4">
      <c r="B25" t="s">
        <v>338</v>
      </c>
      <c r="C25">
        <f>C24*C23</f>
        <v>4.6875000000000001E-5</v>
      </c>
    </row>
    <row r="27" spans="2:4">
      <c r="B27" s="3" t="s">
        <v>86</v>
      </c>
    </row>
    <row r="29" spans="2:4">
      <c r="B29" t="s">
        <v>333</v>
      </c>
      <c r="C29">
        <v>10</v>
      </c>
    </row>
    <row r="30" spans="2:4">
      <c r="B30" t="s">
        <v>87</v>
      </c>
      <c r="C30">
        <f>'Background data'!$D$7</f>
        <v>29.1</v>
      </c>
    </row>
    <row r="31" spans="2:4">
      <c r="B31" t="s">
        <v>339</v>
      </c>
      <c r="C31">
        <f>C30/(60*60)</f>
        <v>8.083333333333333E-3</v>
      </c>
    </row>
    <row r="32" spans="2:4">
      <c r="B32" t="s">
        <v>338</v>
      </c>
      <c r="C32">
        <f>C31*C29</f>
        <v>8.0833333333333326E-2</v>
      </c>
    </row>
    <row r="35" spans="2:3">
      <c r="B35" s="4" t="s">
        <v>340</v>
      </c>
    </row>
    <row r="36" spans="2:3">
      <c r="B36" s="5">
        <f>C32+C25+C15</f>
        <v>8.2130208333333329E-2</v>
      </c>
    </row>
    <row r="41" spans="2:3">
      <c r="B41" s="2" t="s">
        <v>341</v>
      </c>
    </row>
    <row r="43" spans="2:3">
      <c r="B43" t="s">
        <v>342</v>
      </c>
    </row>
    <row r="44" spans="2:3">
      <c r="B44" t="s">
        <v>343</v>
      </c>
      <c r="C44">
        <v>110</v>
      </c>
    </row>
    <row r="45" spans="2:3">
      <c r="B45" t="s">
        <v>344</v>
      </c>
      <c r="C45">
        <f>2.5*0.88</f>
        <v>2.2000000000000002</v>
      </c>
    </row>
    <row r="46" spans="2:3">
      <c r="B46" t="s">
        <v>345</v>
      </c>
      <c r="C46" s="6">
        <f>C45/C44</f>
        <v>0.02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1F62-C252-4364-B9FE-24FFEEB4578F}">
  <sheetPr>
    <tabColor theme="8" tint="0.79998168889431442"/>
  </sheetPr>
  <dimension ref="A1:AE33"/>
  <sheetViews>
    <sheetView showGridLines="0" zoomScale="90" zoomScaleNormal="90" workbookViewId="0">
      <selection activeCell="C29" sqref="C29"/>
    </sheetView>
  </sheetViews>
  <sheetFormatPr defaultColWidth="0" defaultRowHeight="14.45" customHeight="1" zeroHeight="1"/>
  <cols>
    <col min="1" max="1" width="5.7109375" customWidth="1"/>
    <col min="2" max="2" width="23.42578125" customWidth="1"/>
    <col min="3" max="3" width="61.28515625" bestFit="1" customWidth="1"/>
    <col min="4" max="4" width="14.28515625" customWidth="1"/>
    <col min="5" max="5" width="62.85546875" customWidth="1"/>
    <col min="6" max="6" width="5.28515625" bestFit="1" customWidth="1"/>
    <col min="7" max="7" width="43" customWidth="1"/>
    <col min="8" max="8" width="10.7109375" customWidth="1"/>
    <col min="9" max="9" width="14.42578125" style="114" hidden="1" customWidth="1"/>
    <col min="10" max="10" width="19.28515625" style="115" hidden="1" customWidth="1"/>
    <col min="11" max="11" width="15.7109375" style="115" hidden="1" customWidth="1"/>
    <col min="12" max="15" width="8.7109375" hidden="1" customWidth="1"/>
    <col min="16" max="31" width="0" hidden="1" customWidth="1"/>
    <col min="32" max="16384" width="8.7109375" hidden="1"/>
  </cols>
  <sheetData>
    <row r="1" spans="1:11" s="101" customFormat="1">
      <c r="I1" s="102"/>
    </row>
    <row r="2" spans="1:11" s="101" customFormat="1" ht="29.45">
      <c r="A2" s="103"/>
      <c r="B2" s="103"/>
      <c r="C2" s="104" t="s">
        <v>2</v>
      </c>
      <c r="D2" s="103"/>
      <c r="E2" s="103"/>
      <c r="F2" s="103"/>
      <c r="G2" s="103"/>
      <c r="H2" s="103"/>
      <c r="I2" s="105"/>
    </row>
    <row r="3" spans="1:11" s="101" customFormat="1">
      <c r="I3" s="102"/>
    </row>
    <row r="4" spans="1:11" s="101" customFormat="1" ht="7.9" customHeight="1">
      <c r="I4" s="102"/>
    </row>
    <row r="5" spans="1:11">
      <c r="I5" s="106"/>
      <c r="J5"/>
      <c r="K5"/>
    </row>
    <row r="6" spans="1:11"/>
    <row r="7" spans="1:11"/>
    <row r="8" spans="1:11"/>
    <row r="9" spans="1:11"/>
    <row r="10" spans="1:11"/>
    <row r="11" spans="1:11"/>
    <row r="12" spans="1:11"/>
    <row r="13" spans="1:11"/>
    <row r="14" spans="1:11"/>
    <row r="15" spans="1:11"/>
    <row r="16" spans="1:11"/>
    <row r="17" spans="2:3"/>
    <row r="18" spans="2:3"/>
    <row r="19" spans="2:3"/>
    <row r="20" spans="2:3"/>
    <row r="21" spans="2:3"/>
    <row r="22" spans="2:3"/>
    <row r="23" spans="2:3"/>
    <row r="24" spans="2:3"/>
    <row r="25" spans="2:3"/>
    <row r="26" spans="2:3"/>
    <row r="27" spans="2:3" ht="14.45" customHeight="1"/>
    <row r="28" spans="2:3" ht="14.45" customHeight="1" thickBot="1"/>
    <row r="29" spans="2:3" ht="27.6" customHeight="1" thickBot="1">
      <c r="B29" s="200" t="s">
        <v>3</v>
      </c>
      <c r="C29" s="259" t="s">
        <v>4</v>
      </c>
    </row>
    <row r="30" spans="2:3" ht="14.45" customHeight="1"/>
    <row r="31" spans="2:3" ht="14.45" customHeight="1"/>
    <row r="32" spans="2:3" ht="14.45" customHeight="1"/>
    <row r="33" ht="14.45" customHeight="1"/>
  </sheetData>
  <sheetProtection algorithmName="SHA-512" hashValue="UYgWI33o59b1BJVs7bsVId6fW0xys9QZCIR/XOYuBwEpKN6PRfeLZx9+hdvOHBwXJIYGM2J48D3VrA42dt4C1w==" saltValue="F1RhJZUU1+SOuqSSpg+r+w==" spinCount="100000" sheet="1" objects="1" scenarios="1"/>
  <dataValidations count="1">
    <dataValidation type="list" allowBlank="1" showInputMessage="1" showErrorMessage="1" sqref="C29" xr:uid="{D34FDE28-EDE2-4E88-B0F9-2DB5415E5D15}">
      <formula1>"VP1: Optimizing production processes, VP2: Improved repair and refurbishing, VP3: Improved recycling opportunities"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E3A9F-5321-44C4-9F4E-0E747683A4C8}">
  <sheetPr codeName="Sheet18"/>
  <dimension ref="A2:K25"/>
  <sheetViews>
    <sheetView showGridLines="0" workbookViewId="0">
      <selection activeCell="B30" sqref="B30"/>
    </sheetView>
  </sheetViews>
  <sheetFormatPr defaultRowHeight="14.45"/>
  <cols>
    <col min="1" max="1" width="43.85546875" bestFit="1" customWidth="1"/>
  </cols>
  <sheetData>
    <row r="2" spans="11:11">
      <c r="K2" t="s">
        <v>117</v>
      </c>
    </row>
    <row r="17" spans="1:4">
      <c r="A17" s="119" t="s">
        <v>346</v>
      </c>
    </row>
    <row r="18" spans="1:4">
      <c r="A18" s="120">
        <v>9.2903040000000006E-2</v>
      </c>
      <c r="B18" t="s">
        <v>153</v>
      </c>
    </row>
    <row r="19" spans="1:4">
      <c r="A19">
        <v>0.95</v>
      </c>
      <c r="B19" t="s">
        <v>347</v>
      </c>
    </row>
    <row r="23" spans="1:4">
      <c r="A23" t="s">
        <v>348</v>
      </c>
      <c r="B23">
        <v>0.27</v>
      </c>
      <c r="C23">
        <v>0.372</v>
      </c>
      <c r="D23">
        <v>0.26700000000000002</v>
      </c>
    </row>
    <row r="24" spans="1:4">
      <c r="A24" t="s">
        <v>349</v>
      </c>
      <c r="B24">
        <f>B23*$A$19</f>
        <v>0.25650000000000001</v>
      </c>
      <c r="C24">
        <f t="shared" ref="C24:D24" si="0">C23*$A$19</f>
        <v>0.35339999999999999</v>
      </c>
      <c r="D24">
        <f t="shared" si="0"/>
        <v>0.25364999999999999</v>
      </c>
    </row>
    <row r="25" spans="1:4">
      <c r="A25" t="s">
        <v>350</v>
      </c>
      <c r="B25">
        <f>B24*$A$18</f>
        <v>2.3829629760000002E-2</v>
      </c>
      <c r="C25">
        <f t="shared" ref="C25:D25" si="1">C24*$A$18</f>
        <v>3.2831934335999999E-2</v>
      </c>
      <c r="D25">
        <f t="shared" si="1"/>
        <v>2.3564856096000002E-2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D276-85A4-4FA1-9201-7F892BF7F611}">
  <sheetPr codeName="Sheet2">
    <tabColor theme="8" tint="0.79998168889431442"/>
  </sheetPr>
  <dimension ref="A1:AG57"/>
  <sheetViews>
    <sheetView showGridLines="0" tabSelected="1" zoomScale="90" zoomScaleNormal="90" workbookViewId="0">
      <selection activeCell="D19" sqref="D19"/>
    </sheetView>
  </sheetViews>
  <sheetFormatPr defaultColWidth="0" defaultRowHeight="14.45" zeroHeight="1"/>
  <cols>
    <col min="1" max="1" width="5.7109375" customWidth="1"/>
    <col min="2" max="2" width="26.5703125" style="206" customWidth="1"/>
    <col min="3" max="3" width="61.28515625" style="207" bestFit="1" customWidth="1"/>
    <col min="4" max="4" width="14.28515625" style="253" customWidth="1"/>
    <col min="5" max="5" width="95.28515625" style="206" bestFit="1" customWidth="1"/>
    <col min="6" max="7" width="5.28515625" hidden="1" customWidth="1"/>
    <col min="8" max="8" width="10.42578125" hidden="1" customWidth="1"/>
    <col min="9" max="9" width="23.85546875" style="208" customWidth="1"/>
    <col min="10" max="10" width="10.7109375" customWidth="1"/>
    <col min="11" max="11" width="14.42578125" style="114" hidden="1" customWidth="1"/>
    <col min="12" max="12" width="19.28515625" style="115" hidden="1" customWidth="1"/>
    <col min="13" max="13" width="15.7109375" style="115" hidden="1" customWidth="1"/>
    <col min="14" max="17" width="8.7109375" hidden="1" customWidth="1"/>
    <col min="18" max="33" width="0" hidden="1" customWidth="1"/>
    <col min="34" max="16384" width="8.7109375" hidden="1"/>
  </cols>
  <sheetData>
    <row r="1" spans="1:13" s="101" customFormat="1">
      <c r="B1" s="201"/>
      <c r="C1" s="202"/>
      <c r="D1" s="251"/>
      <c r="E1" s="201"/>
      <c r="I1" s="203"/>
      <c r="K1" s="102"/>
    </row>
    <row r="2" spans="1:13" s="101" customFormat="1" ht="29.45">
      <c r="A2" s="103"/>
      <c r="B2" s="204"/>
      <c r="C2" s="205" t="s">
        <v>5</v>
      </c>
      <c r="D2" s="252"/>
      <c r="E2" s="204"/>
      <c r="F2" s="103"/>
      <c r="G2" s="103"/>
      <c r="H2" s="103"/>
      <c r="I2" s="103"/>
      <c r="J2" s="103"/>
      <c r="K2" s="105"/>
    </row>
    <row r="3" spans="1:13" s="101" customFormat="1">
      <c r="B3" s="201"/>
      <c r="C3" s="202"/>
      <c r="D3" s="251"/>
      <c r="E3" s="201"/>
      <c r="I3" s="203"/>
      <c r="K3" s="102"/>
    </row>
    <row r="4" spans="1:13" s="101" customFormat="1" ht="7.9" customHeight="1">
      <c r="B4" s="201"/>
      <c r="C4" s="202"/>
      <c r="D4" s="251"/>
      <c r="E4" s="201"/>
      <c r="F4" s="203">
        <v>1</v>
      </c>
      <c r="G4" s="203">
        <v>2</v>
      </c>
      <c r="H4" s="203">
        <v>3</v>
      </c>
      <c r="I4" s="203"/>
      <c r="K4" s="102"/>
    </row>
    <row r="5" spans="1:13" ht="15" thickBot="1">
      <c r="K5" s="106"/>
      <c r="L5"/>
      <c r="M5"/>
    </row>
    <row r="6" spans="1:13" ht="28.15" customHeight="1" thickBot="1">
      <c r="B6" s="209" t="s">
        <v>6</v>
      </c>
      <c r="C6" s="210" t="str">
        <f>'Value proposition selector'!C29</f>
        <v>VP2: Improved repair and refurbishing</v>
      </c>
      <c r="E6" s="207"/>
      <c r="F6" cm="1">
        <f t="array" ref="F6">IFERROR(_xlfn.IFS(C6="VP1: Optimizing production processes",1,C6="VP2: Improved repair and refurbishing",0,C6="VP3: Improved recycling opportunities",0),0)</f>
        <v>0</v>
      </c>
      <c r="G6" cm="1">
        <f t="array" ref="G6">IFERROR(_xlfn.IFS(C6="VP1: Optimizing production processes",0,C6="VP2: Improved repair and refurbishing",1,C6="VP3: Improved recycling opportunities",0),0)</f>
        <v>1</v>
      </c>
      <c r="H6" cm="1">
        <f t="array" ref="H6">IFERROR(_xlfn.IFS(C6="VP1: Optimizing production processes",0,C6="VP2: Improved repair and refurbishing",0,C6="VP3: Improved recycling opportunities",1),0)</f>
        <v>0</v>
      </c>
    </row>
    <row r="7" spans="1:13" ht="28.15" customHeight="1"/>
    <row r="8" spans="1:13" s="211" customFormat="1" ht="21">
      <c r="B8" s="212" t="s">
        <v>7</v>
      </c>
      <c r="C8" s="213"/>
      <c r="D8" s="254"/>
      <c r="E8" s="214"/>
      <c r="K8" s="215"/>
      <c r="L8" s="216"/>
      <c r="M8" s="216"/>
    </row>
    <row r="9" spans="1:13" ht="15" thickBot="1"/>
    <row r="10" spans="1:13" ht="14.45" customHeight="1">
      <c r="B10" s="295" t="s">
        <v>8</v>
      </c>
      <c r="C10" s="217" t="s">
        <v>9</v>
      </c>
      <c r="D10" s="264"/>
      <c r="E10" s="218" t="s">
        <v>10</v>
      </c>
      <c r="F10">
        <f>1*F$6</f>
        <v>0</v>
      </c>
      <c r="G10">
        <f t="shared" ref="G10:H12" si="0">1*G$6</f>
        <v>1</v>
      </c>
      <c r="H10">
        <f t="shared" si="0"/>
        <v>0</v>
      </c>
      <c r="I10" s="219">
        <f>SUM(F10:H10)</f>
        <v>1</v>
      </c>
    </row>
    <row r="11" spans="1:13" ht="15.6" customHeight="1">
      <c r="B11" s="296"/>
      <c r="C11" s="220" t="s">
        <v>11</v>
      </c>
      <c r="D11" s="265"/>
      <c r="E11" s="221" t="s">
        <v>12</v>
      </c>
      <c r="F11">
        <f t="shared" ref="F11" si="1">1*F$6</f>
        <v>0</v>
      </c>
      <c r="G11">
        <f>0*G$6</f>
        <v>0</v>
      </c>
      <c r="H11">
        <f>0*H$6</f>
        <v>0</v>
      </c>
      <c r="I11" s="219">
        <f>SUM(F11:H11)</f>
        <v>0</v>
      </c>
    </row>
    <row r="12" spans="1:13" ht="15.6" customHeight="1" thickBot="1">
      <c r="B12" s="297"/>
      <c r="C12" s="222" t="s">
        <v>13</v>
      </c>
      <c r="D12" s="266"/>
      <c r="E12" s="223" t="s">
        <v>14</v>
      </c>
      <c r="F12">
        <f>0*F$6</f>
        <v>0</v>
      </c>
      <c r="G12">
        <f>0*G$6</f>
        <v>0</v>
      </c>
      <c r="H12">
        <f t="shared" si="0"/>
        <v>0</v>
      </c>
      <c r="I12" s="219">
        <f>SUM(F12:H12)</f>
        <v>0</v>
      </c>
    </row>
    <row r="13" spans="1:13" ht="16.149999999999999" customHeight="1">
      <c r="B13" s="224"/>
      <c r="D13" s="255"/>
    </row>
    <row r="14" spans="1:13" s="211" customFormat="1" ht="21">
      <c r="B14" s="212" t="s">
        <v>15</v>
      </c>
      <c r="C14" s="213"/>
      <c r="D14" s="254"/>
      <c r="E14" s="214"/>
      <c r="K14" s="215"/>
      <c r="L14" s="216"/>
      <c r="M14" s="216"/>
    </row>
    <row r="15" spans="1:13">
      <c r="C15" s="226"/>
      <c r="D15" s="255"/>
      <c r="E15" s="225"/>
    </row>
    <row r="16" spans="1:13" s="227" customFormat="1" ht="15.6">
      <c r="B16" s="228" t="s">
        <v>16</v>
      </c>
      <c r="C16" s="229"/>
      <c r="D16" s="256"/>
      <c r="E16" s="230"/>
      <c r="K16" s="231"/>
      <c r="L16" s="232"/>
      <c r="M16" s="232"/>
    </row>
    <row r="17" spans="2:13" ht="15" thickBot="1">
      <c r="C17" s="226"/>
      <c r="D17" s="255"/>
      <c r="E17" s="225"/>
    </row>
    <row r="18" spans="2:13">
      <c r="B18" s="292" t="s">
        <v>17</v>
      </c>
      <c r="C18" s="233" t="s">
        <v>18</v>
      </c>
      <c r="D18" s="260" t="s">
        <v>19</v>
      </c>
      <c r="E18" s="234"/>
      <c r="F18">
        <f>1*F$6</f>
        <v>0</v>
      </c>
      <c r="G18">
        <f t="shared" ref="G18:H19" si="2">1*G$6</f>
        <v>1</v>
      </c>
      <c r="H18">
        <f t="shared" si="2"/>
        <v>0</v>
      </c>
      <c r="I18" s="219">
        <f>SUM(F18:H18)</f>
        <v>1</v>
      </c>
    </row>
    <row r="19" spans="2:13" ht="29.45" customHeight="1" thickBot="1">
      <c r="B19" s="294"/>
      <c r="C19" s="235" t="s">
        <v>20</v>
      </c>
      <c r="D19" s="261" t="s">
        <v>21</v>
      </c>
      <c r="E19" s="236" t="s">
        <v>22</v>
      </c>
      <c r="F19">
        <f>1*F$6</f>
        <v>0</v>
      </c>
      <c r="G19">
        <f t="shared" si="2"/>
        <v>1</v>
      </c>
      <c r="H19">
        <f t="shared" si="2"/>
        <v>0</v>
      </c>
      <c r="I19" s="219">
        <f>SUM(F19:H19)</f>
        <v>1</v>
      </c>
    </row>
    <row r="20" spans="2:13" ht="16.149999999999999" thickBot="1">
      <c r="B20" s="224"/>
      <c r="C20" s="237"/>
      <c r="D20" s="257"/>
      <c r="E20" s="238"/>
    </row>
    <row r="21" spans="2:13" ht="16.149999999999999" customHeight="1">
      <c r="B21" s="298" t="s">
        <v>23</v>
      </c>
      <c r="C21" s="239" t="s">
        <v>24</v>
      </c>
      <c r="D21" s="262" cm="1">
        <f t="array" ref="D21">_xlfn.IFS(AND(D18="Convection",D19="Manual"),'Background data'!D15,AND(D18="Convection",D19="Automated"),'Background data'!D17,AND(D18="Induction",D19="Manual"),'Background data'!D11,AND(D18="Induction",D19="Automated"),'Background data'!D13)</f>
        <v>21839</v>
      </c>
      <c r="E21" s="218" t="s">
        <v>25</v>
      </c>
      <c r="F21">
        <f>1*F$6*IF(D22="own estimate",0,1)</f>
        <v>0</v>
      </c>
      <c r="G21">
        <f>1*G$6*IF(D22="own estimate",0,1)</f>
        <v>1</v>
      </c>
      <c r="H21">
        <f>1*H$6*IF(D22="own estimate",0,1)</f>
        <v>0</v>
      </c>
      <c r="I21" s="219">
        <f t="shared" ref="I21:I26" si="3">SUM(F21:H21)</f>
        <v>1</v>
      </c>
    </row>
    <row r="22" spans="2:13" ht="16.149999999999999" customHeight="1">
      <c r="B22" s="298"/>
      <c r="C22" s="240" t="s">
        <v>26</v>
      </c>
      <c r="D22" s="283" t="s">
        <v>27</v>
      </c>
      <c r="E22" s="241"/>
      <c r="F22">
        <f>1*F$6</f>
        <v>0</v>
      </c>
      <c r="G22">
        <f t="shared" ref="G22:H26" si="4">1*G$6</f>
        <v>1</v>
      </c>
      <c r="H22">
        <f t="shared" si="4"/>
        <v>0</v>
      </c>
      <c r="I22" s="219">
        <f t="shared" si="3"/>
        <v>1</v>
      </c>
    </row>
    <row r="23" spans="2:13" ht="15" customHeight="1">
      <c r="B23" s="298"/>
      <c r="C23" s="240" t="s">
        <v>28</v>
      </c>
      <c r="D23" s="263"/>
      <c r="E23" s="221" t="s">
        <v>29</v>
      </c>
      <c r="F23">
        <f>1*F$6*IF(D22="default",0,1)</f>
        <v>0</v>
      </c>
      <c r="G23">
        <f>1*G$6*IF(D22="default",0,1)</f>
        <v>0</v>
      </c>
      <c r="H23">
        <f>1*H$6*IF(D22="default",0,1)</f>
        <v>0</v>
      </c>
      <c r="I23" s="219">
        <f t="shared" si="3"/>
        <v>0</v>
      </c>
    </row>
    <row r="24" spans="2:13" ht="15" customHeight="1">
      <c r="B24" s="298"/>
      <c r="C24" s="240" t="s">
        <v>30</v>
      </c>
      <c r="D24" s="263"/>
      <c r="E24" s="242" t="s">
        <v>31</v>
      </c>
      <c r="F24">
        <f t="shared" ref="F24:F26" si="5">1*F$6</f>
        <v>0</v>
      </c>
      <c r="G24">
        <f t="shared" si="4"/>
        <v>1</v>
      </c>
      <c r="H24">
        <f t="shared" si="4"/>
        <v>0</v>
      </c>
      <c r="I24" s="219">
        <f t="shared" si="3"/>
        <v>1</v>
      </c>
    </row>
    <row r="25" spans="2:13" ht="15" customHeight="1">
      <c r="B25" s="298"/>
      <c r="C25" s="240" t="s">
        <v>32</v>
      </c>
      <c r="D25" s="263"/>
      <c r="E25" s="242" t="s">
        <v>33</v>
      </c>
      <c r="F25">
        <f>0*F$6</f>
        <v>0</v>
      </c>
      <c r="G25">
        <f t="shared" si="4"/>
        <v>1</v>
      </c>
      <c r="H25">
        <f t="shared" si="4"/>
        <v>0</v>
      </c>
      <c r="I25" s="219">
        <f t="shared" si="3"/>
        <v>1</v>
      </c>
    </row>
    <row r="26" spans="2:13" ht="15" customHeight="1" thickBot="1">
      <c r="B26" s="299"/>
      <c r="C26" s="243" t="s">
        <v>34</v>
      </c>
      <c r="D26" s="267"/>
      <c r="E26" s="244" t="s">
        <v>35</v>
      </c>
      <c r="F26">
        <f t="shared" si="5"/>
        <v>0</v>
      </c>
      <c r="G26">
        <f t="shared" si="4"/>
        <v>1</v>
      </c>
      <c r="H26">
        <f t="shared" si="4"/>
        <v>0</v>
      </c>
      <c r="I26" s="219">
        <f t="shared" si="3"/>
        <v>1</v>
      </c>
    </row>
    <row r="27" spans="2:13">
      <c r="C27" s="226"/>
      <c r="D27" s="255"/>
      <c r="E27" s="225"/>
    </row>
    <row r="28" spans="2:13" s="227" customFormat="1" ht="15.6">
      <c r="B28" s="228" t="s">
        <v>36</v>
      </c>
      <c r="C28" s="229"/>
      <c r="D28" s="256"/>
      <c r="E28" s="230"/>
      <c r="K28" s="231"/>
      <c r="L28" s="232"/>
      <c r="M28" s="232"/>
    </row>
    <row r="29" spans="2:13" ht="15" thickBot="1">
      <c r="C29" s="226"/>
      <c r="D29" s="255"/>
      <c r="E29" s="225"/>
    </row>
    <row r="30" spans="2:13" ht="15.6" customHeight="1">
      <c r="B30" s="292" t="s">
        <v>37</v>
      </c>
      <c r="C30" s="245" t="s">
        <v>38</v>
      </c>
      <c r="D30" s="268"/>
      <c r="E30" s="246"/>
      <c r="F30">
        <f>1*F$6</f>
        <v>0</v>
      </c>
      <c r="G30">
        <f t="shared" ref="F30:H47" si="6">1*G$6</f>
        <v>1</v>
      </c>
      <c r="H30">
        <f t="shared" si="6"/>
        <v>0</v>
      </c>
      <c r="I30" s="219">
        <f t="shared" ref="I30:I31" si="7">SUM(F30:H30)</f>
        <v>1</v>
      </c>
    </row>
    <row r="31" spans="2:13" ht="15.6" customHeight="1" thickBot="1">
      <c r="B31" s="294"/>
      <c r="C31" s="247" t="s">
        <v>39</v>
      </c>
      <c r="D31" s="269"/>
      <c r="E31" s="244" t="s">
        <v>40</v>
      </c>
      <c r="F31">
        <f>1*F$6</f>
        <v>0</v>
      </c>
      <c r="G31">
        <f t="shared" si="6"/>
        <v>1</v>
      </c>
      <c r="H31">
        <f t="shared" si="6"/>
        <v>0</v>
      </c>
      <c r="I31" s="219">
        <f t="shared" si="7"/>
        <v>1</v>
      </c>
    </row>
    <row r="32" spans="2:13" ht="15.6" customHeight="1" thickBot="1">
      <c r="B32" s="224"/>
      <c r="C32" s="226"/>
      <c r="D32" s="258"/>
      <c r="E32" s="248"/>
    </row>
    <row r="33" spans="2:9" ht="14.45" customHeight="1">
      <c r="B33" s="300" t="s">
        <v>41</v>
      </c>
      <c r="C33" s="245" t="s">
        <v>42</v>
      </c>
      <c r="D33" s="270"/>
      <c r="E33" s="218" t="s">
        <v>43</v>
      </c>
      <c r="F33">
        <f>0*F$6</f>
        <v>0</v>
      </c>
      <c r="G33">
        <f t="shared" si="6"/>
        <v>1</v>
      </c>
      <c r="H33">
        <f>0*H$6</f>
        <v>0</v>
      </c>
      <c r="I33" s="219">
        <f t="shared" ref="I33:I37" si="8">SUM(F33:H33)</f>
        <v>1</v>
      </c>
    </row>
    <row r="34" spans="2:9" ht="14.45" customHeight="1">
      <c r="B34" s="301"/>
      <c r="C34" s="249" t="s">
        <v>44</v>
      </c>
      <c r="D34" s="271"/>
      <c r="E34" s="242" t="s">
        <v>45</v>
      </c>
      <c r="F34">
        <f>0*F$6</f>
        <v>0</v>
      </c>
      <c r="G34">
        <f t="shared" si="6"/>
        <v>1</v>
      </c>
      <c r="H34">
        <f t="shared" si="6"/>
        <v>0</v>
      </c>
      <c r="I34" s="219">
        <f t="shared" si="8"/>
        <v>1</v>
      </c>
    </row>
    <row r="35" spans="2:9" ht="14.45" customHeight="1">
      <c r="B35" s="301"/>
      <c r="C35" s="249" t="s">
        <v>46</v>
      </c>
      <c r="D35" s="272"/>
      <c r="E35" s="242"/>
      <c r="F35">
        <f>0*F$6</f>
        <v>0</v>
      </c>
      <c r="G35">
        <f t="shared" si="6"/>
        <v>1</v>
      </c>
      <c r="H35">
        <f t="shared" si="6"/>
        <v>0</v>
      </c>
      <c r="I35" s="219">
        <f t="shared" si="8"/>
        <v>1</v>
      </c>
    </row>
    <row r="36" spans="2:9" ht="14.45" customHeight="1">
      <c r="B36" s="301"/>
      <c r="C36" s="249" t="s">
        <v>47</v>
      </c>
      <c r="D36" s="273"/>
      <c r="E36" s="242" t="s">
        <v>48</v>
      </c>
      <c r="F36">
        <f>0*F$6</f>
        <v>0</v>
      </c>
      <c r="G36">
        <f t="shared" si="6"/>
        <v>1</v>
      </c>
      <c r="H36">
        <f t="shared" si="6"/>
        <v>0</v>
      </c>
      <c r="I36" s="219">
        <f t="shared" si="8"/>
        <v>1</v>
      </c>
    </row>
    <row r="37" spans="2:9" ht="15.6" customHeight="1" thickBot="1">
      <c r="B37" s="302"/>
      <c r="C37" s="247" t="s">
        <v>49</v>
      </c>
      <c r="D37" s="274"/>
      <c r="E37" s="223" t="s">
        <v>50</v>
      </c>
      <c r="F37">
        <f t="shared" si="6"/>
        <v>0</v>
      </c>
      <c r="G37">
        <f>0*G$6</f>
        <v>0</v>
      </c>
      <c r="H37">
        <f>0*H$6</f>
        <v>0</v>
      </c>
      <c r="I37" s="219">
        <f t="shared" si="8"/>
        <v>0</v>
      </c>
    </row>
    <row r="38" spans="2:9" ht="15.6" customHeight="1" thickBot="1">
      <c r="B38" s="224"/>
      <c r="C38" s="226"/>
      <c r="D38" s="258"/>
      <c r="E38" s="248"/>
    </row>
    <row r="39" spans="2:9">
      <c r="B39" s="303" t="s">
        <v>51</v>
      </c>
      <c r="C39" s="245" t="s">
        <v>52</v>
      </c>
      <c r="D39" s="275"/>
      <c r="E39" s="234" t="s">
        <v>53</v>
      </c>
      <c r="F39">
        <f>0*F$6</f>
        <v>0</v>
      </c>
      <c r="G39">
        <f t="shared" si="6"/>
        <v>1</v>
      </c>
      <c r="H39">
        <f>0*H$6</f>
        <v>0</v>
      </c>
      <c r="I39" s="219">
        <f t="shared" ref="I39:I40" si="9">SUM(F39:H39)</f>
        <v>1</v>
      </c>
    </row>
    <row r="40" spans="2:9" ht="15.6" customHeight="1" thickBot="1">
      <c r="B40" s="304"/>
      <c r="C40" s="247" t="s">
        <v>54</v>
      </c>
      <c r="D40" s="276"/>
      <c r="E40" s="236" t="s">
        <v>55</v>
      </c>
      <c r="F40">
        <f>0*F$6</f>
        <v>0</v>
      </c>
      <c r="G40">
        <f t="shared" si="6"/>
        <v>1</v>
      </c>
      <c r="H40">
        <f>0*H$6</f>
        <v>0</v>
      </c>
      <c r="I40" s="219">
        <f t="shared" si="9"/>
        <v>1</v>
      </c>
    </row>
    <row r="41" spans="2:9" ht="15.6" customHeight="1" thickBot="1">
      <c r="B41" s="224"/>
      <c r="C41" s="226"/>
      <c r="D41" s="258"/>
      <c r="E41" s="248"/>
    </row>
    <row r="42" spans="2:9" ht="15.6" customHeight="1">
      <c r="B42" s="292" t="s">
        <v>56</v>
      </c>
      <c r="C42" s="245" t="s">
        <v>57</v>
      </c>
      <c r="D42" s="277"/>
      <c r="E42" s="218" t="s">
        <v>58</v>
      </c>
      <c r="F42">
        <f>1*F$6</f>
        <v>0</v>
      </c>
      <c r="G42">
        <f t="shared" si="6"/>
        <v>1</v>
      </c>
      <c r="H42">
        <f t="shared" si="6"/>
        <v>0</v>
      </c>
      <c r="I42" s="219">
        <f>SUM(F42:H42)</f>
        <v>1</v>
      </c>
    </row>
    <row r="43" spans="2:9" ht="15.6" customHeight="1">
      <c r="B43" s="293"/>
      <c r="C43" s="249" t="s">
        <v>59</v>
      </c>
      <c r="D43" s="278"/>
      <c r="E43" s="221" t="s">
        <v>60</v>
      </c>
      <c r="F43">
        <f>1*F$6</f>
        <v>0</v>
      </c>
      <c r="G43">
        <f t="shared" si="6"/>
        <v>1</v>
      </c>
      <c r="H43">
        <f t="shared" si="6"/>
        <v>0</v>
      </c>
      <c r="I43" s="219">
        <f t="shared" ref="I43:I47" si="10">SUM(F43:H43)</f>
        <v>1</v>
      </c>
    </row>
    <row r="44" spans="2:9" ht="15.6" customHeight="1">
      <c r="B44" s="293"/>
      <c r="C44" s="249" t="s">
        <v>61</v>
      </c>
      <c r="D44" s="265"/>
      <c r="E44" s="221"/>
      <c r="F44">
        <f>IF(D19="Automatic",1,0)*F6</f>
        <v>0</v>
      </c>
      <c r="G44">
        <f>IF(D19="Automatic",1,0)*G6</f>
        <v>0</v>
      </c>
      <c r="H44">
        <f>IF(D19="Automatic",1,0)*H6</f>
        <v>0</v>
      </c>
      <c r="I44" s="219">
        <f t="shared" si="10"/>
        <v>0</v>
      </c>
    </row>
    <row r="45" spans="2:9" ht="15.6" customHeight="1">
      <c r="B45" s="293"/>
      <c r="C45" s="249" t="s">
        <v>62</v>
      </c>
      <c r="D45" s="265"/>
      <c r="E45" s="282" t="s">
        <v>63</v>
      </c>
      <c r="F45">
        <f t="shared" si="6"/>
        <v>0</v>
      </c>
      <c r="G45">
        <f>0*G$6</f>
        <v>0</v>
      </c>
      <c r="H45">
        <f>0*H$6</f>
        <v>0</v>
      </c>
      <c r="I45" s="219">
        <f t="shared" si="10"/>
        <v>0</v>
      </c>
    </row>
    <row r="46" spans="2:9" ht="15.6" customHeight="1">
      <c r="B46" s="293"/>
      <c r="C46" s="249" t="s">
        <v>64</v>
      </c>
      <c r="D46" s="279"/>
      <c r="E46" s="282" t="s">
        <v>65</v>
      </c>
      <c r="F46">
        <f>0*F$6</f>
        <v>0</v>
      </c>
      <c r="G46">
        <f t="shared" si="6"/>
        <v>1</v>
      </c>
      <c r="H46">
        <f>0*H$6</f>
        <v>0</v>
      </c>
      <c r="I46" s="219">
        <f t="shared" si="10"/>
        <v>1</v>
      </c>
    </row>
    <row r="47" spans="2:9" ht="15.6" customHeight="1" thickBot="1">
      <c r="B47" s="294"/>
      <c r="C47" s="247" t="s">
        <v>66</v>
      </c>
      <c r="D47" s="280"/>
      <c r="E47" s="223"/>
      <c r="F47">
        <f t="shared" si="6"/>
        <v>0</v>
      </c>
      <c r="G47">
        <f>0*G$6</f>
        <v>0</v>
      </c>
      <c r="H47">
        <f>0*H$6</f>
        <v>0</v>
      </c>
      <c r="I47" s="219">
        <f t="shared" si="10"/>
        <v>0</v>
      </c>
    </row>
    <row r="48" spans="2:9">
      <c r="C48" s="226"/>
      <c r="D48" s="255"/>
      <c r="E48" s="225"/>
    </row>
    <row r="49" spans="2:13" s="211" customFormat="1" ht="21">
      <c r="B49" s="212" t="s">
        <v>67</v>
      </c>
      <c r="C49" s="213"/>
      <c r="D49" s="254"/>
      <c r="E49" s="214"/>
      <c r="K49" s="215"/>
      <c r="L49" s="216"/>
      <c r="M49" s="216"/>
    </row>
    <row r="50" spans="2:13" ht="15" thickBot="1">
      <c r="C50" s="226"/>
      <c r="D50" s="255"/>
      <c r="E50" s="225"/>
    </row>
    <row r="51" spans="2:13" ht="14.45" customHeight="1">
      <c r="B51" s="292" t="s">
        <v>68</v>
      </c>
      <c r="C51" s="217" t="s">
        <v>69</v>
      </c>
      <c r="D51" s="284"/>
      <c r="E51" s="218" t="s">
        <v>70</v>
      </c>
      <c r="F51">
        <f t="shared" ref="F51:H52" si="11">1*F$6</f>
        <v>0</v>
      </c>
      <c r="G51">
        <f t="shared" si="11"/>
        <v>1</v>
      </c>
      <c r="H51">
        <f t="shared" si="11"/>
        <v>0</v>
      </c>
      <c r="I51" s="219">
        <f t="shared" ref="I51:I53" si="12">SUM(F51:H51)</f>
        <v>1</v>
      </c>
    </row>
    <row r="52" spans="2:13" ht="14.45" customHeight="1">
      <c r="B52" s="293"/>
      <c r="C52" s="249" t="s">
        <v>71</v>
      </c>
      <c r="D52" s="281"/>
      <c r="E52" s="221" t="s">
        <v>72</v>
      </c>
      <c r="F52">
        <f>0*F$6</f>
        <v>0</v>
      </c>
      <c r="G52">
        <f t="shared" si="11"/>
        <v>1</v>
      </c>
      <c r="H52">
        <f t="shared" si="11"/>
        <v>0</v>
      </c>
      <c r="I52" s="219">
        <f t="shared" si="12"/>
        <v>1</v>
      </c>
    </row>
    <row r="53" spans="2:13" ht="15" customHeight="1" thickBot="1">
      <c r="B53" s="294"/>
      <c r="C53" s="222" t="s">
        <v>73</v>
      </c>
      <c r="D53" s="269"/>
      <c r="E53" s="250" t="s">
        <v>74</v>
      </c>
      <c r="F53">
        <f t="shared" ref="F53" si="13">1*F$6</f>
        <v>0</v>
      </c>
      <c r="G53">
        <f>0*G$6</f>
        <v>0</v>
      </c>
      <c r="H53">
        <f>0*H$6</f>
        <v>0</v>
      </c>
      <c r="I53" s="219">
        <f t="shared" si="12"/>
        <v>0</v>
      </c>
    </row>
    <row r="54" spans="2:13">
      <c r="D54" s="255"/>
    </row>
    <row r="55" spans="2:13"/>
    <row r="56" spans="2:13"/>
    <row r="57" spans="2:13"/>
  </sheetData>
  <sheetProtection algorithmName="SHA-512" hashValue="L2+kZ7/zU//ZY1X2Yx7a+bLcOAWSqfszjA3jMm3N6uB/2tqkMlGfC8ZGae2YpTdMqZFVh11wZpO/TIg4/r52DA==" saltValue="762kv5LTmUDpOMfbKSMs6A==" spinCount="100000" sheet="1" objects="1" scenarios="1"/>
  <mergeCells count="8">
    <mergeCell ref="B42:B47"/>
    <mergeCell ref="B51:B53"/>
    <mergeCell ref="B10:B12"/>
    <mergeCell ref="B21:B26"/>
    <mergeCell ref="B18:B19"/>
    <mergeCell ref="B30:B31"/>
    <mergeCell ref="B33:B37"/>
    <mergeCell ref="B39:B40"/>
  </mergeCells>
  <conditionalFormatting sqref="C10:E12 C18:E19 C30:E31 C39:E40">
    <cfRule type="expression" dxfId="5" priority="6">
      <formula>$I10=0</formula>
    </cfRule>
  </conditionalFormatting>
  <conditionalFormatting sqref="C21:E26">
    <cfRule type="expression" dxfId="4" priority="5">
      <formula>$I21=0</formula>
    </cfRule>
  </conditionalFormatting>
  <conditionalFormatting sqref="C33:E37">
    <cfRule type="expression" dxfId="3" priority="2">
      <formula>$I33=0</formula>
    </cfRule>
  </conditionalFormatting>
  <conditionalFormatting sqref="C42:E46 C47:D47">
    <cfRule type="expression" dxfId="2" priority="4">
      <formula>$I42=0</formula>
    </cfRule>
  </conditionalFormatting>
  <conditionalFormatting sqref="C51:E53">
    <cfRule type="expression" dxfId="1" priority="3">
      <formula>$I51=0</formula>
    </cfRule>
  </conditionalFormatting>
  <conditionalFormatting sqref="E47">
    <cfRule type="expression" dxfId="0" priority="1">
      <formula>$I47=0</formula>
    </cfRule>
  </conditionalFormatting>
  <dataValidations count="4">
    <dataValidation type="list" allowBlank="1" showInputMessage="1" showErrorMessage="1" sqref="D19" xr:uid="{B0B4C220-04A7-408A-B21B-62B809468BD1}">
      <formula1>"Manual,Automated"</formula1>
    </dataValidation>
    <dataValidation type="list" allowBlank="1" showInputMessage="1" showErrorMessage="1" sqref="D18" xr:uid="{E4F4FC9C-7A10-4C5A-AB88-AA24C595746E}">
      <formula1>"Convection,Induction"</formula1>
    </dataValidation>
    <dataValidation type="list" allowBlank="1" showInputMessage="1" showErrorMessage="1" sqref="D36" xr:uid="{02F90774-F2B2-4234-AA39-E20362150615}">
      <formula1>"Yes,No"</formula1>
    </dataValidation>
    <dataValidation type="list" allowBlank="1" showInputMessage="1" showErrorMessage="1" sqref="D22" xr:uid="{31F8D6F1-96D2-4E6A-A3B4-0524136FF4E0}">
      <formula1>"Default,Own estimate"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E9F06-6D6D-467C-BB9D-230465669D07}">
  <sheetPr>
    <tabColor theme="8" tint="-0.499984740745262"/>
  </sheetPr>
  <dimension ref="A1:AE100"/>
  <sheetViews>
    <sheetView showGridLines="0" zoomScale="90" zoomScaleNormal="90" workbookViewId="0"/>
  </sheetViews>
  <sheetFormatPr defaultColWidth="0" defaultRowHeight="14.45" zeroHeight="1"/>
  <cols>
    <col min="1" max="1" width="5.7109375" customWidth="1"/>
    <col min="2" max="2" width="30.7109375" customWidth="1"/>
    <col min="3" max="3" width="29" bestFit="1" customWidth="1"/>
    <col min="4" max="4" width="12.28515625" customWidth="1"/>
    <col min="5" max="5" width="5.28515625" bestFit="1" customWidth="1"/>
    <col min="6" max="6" width="8.5703125" bestFit="1" customWidth="1"/>
    <col min="7" max="7" width="18.28515625" bestFit="1" customWidth="1"/>
    <col min="8" max="8" width="16.7109375" customWidth="1"/>
    <col min="9" max="9" width="15.28515625" style="114" bestFit="1" customWidth="1"/>
    <col min="10" max="10" width="19.28515625" style="115" hidden="1" customWidth="1"/>
    <col min="11" max="11" width="15.7109375" style="115" customWidth="1" collapsed="1"/>
    <col min="12" max="12" width="10" bestFit="1" customWidth="1"/>
    <col min="13" max="15" width="8.7109375" customWidth="1"/>
    <col min="16" max="31" width="0" hidden="1" customWidth="1"/>
    <col min="32" max="16384" width="8.7109375" hidden="1"/>
  </cols>
  <sheetData>
    <row r="1" spans="1:11" s="101" customFormat="1">
      <c r="I1" s="102"/>
    </row>
    <row r="2" spans="1:11" s="101" customFormat="1" ht="29.45">
      <c r="A2" s="103"/>
      <c r="B2" s="103"/>
      <c r="C2" s="104" t="s">
        <v>75</v>
      </c>
      <c r="D2" s="103"/>
      <c r="E2" s="103"/>
      <c r="F2" s="103"/>
      <c r="G2" s="103"/>
      <c r="H2" s="103"/>
      <c r="I2" s="105"/>
    </row>
    <row r="3" spans="1:11" s="101" customFormat="1">
      <c r="I3" s="102"/>
    </row>
    <row r="4" spans="1:11" s="101" customFormat="1" ht="7.9" customHeight="1">
      <c r="I4" s="102"/>
    </row>
    <row r="5" spans="1:11">
      <c r="I5" s="106"/>
      <c r="J5"/>
      <c r="K5"/>
    </row>
    <row r="6" spans="1:11" ht="15" thickBot="1"/>
    <row r="7" spans="1:11">
      <c r="B7" s="305" t="s">
        <v>76</v>
      </c>
      <c r="C7" s="307" t="e">
        <f>Calculations!E54</f>
        <v>#DIV/0!</v>
      </c>
    </row>
    <row r="8" spans="1:11" ht="15" thickBot="1">
      <c r="B8" s="306"/>
      <c r="C8" s="308"/>
    </row>
    <row r="9" spans="1:11"/>
    <row r="10" spans="1:11"/>
    <row r="11" spans="1:11"/>
    <row r="12" spans="1:11"/>
    <row r="13" spans="1:11"/>
    <row r="14" spans="1:11"/>
    <row r="15" spans="1:11"/>
    <row r="16" spans="1:1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2:3" ht="15" thickBot="1"/>
    <row r="34" spans="2:3">
      <c r="B34" s="305" t="s">
        <v>77</v>
      </c>
      <c r="C34" s="309">
        <f>Calculations!C51</f>
        <v>0</v>
      </c>
    </row>
    <row r="35" spans="2:3" ht="15" thickBot="1">
      <c r="B35" s="306"/>
      <c r="C35" s="310"/>
    </row>
    <row r="36" spans="2:3">
      <c r="B36" s="305" t="s">
        <v>78</v>
      </c>
      <c r="C36" s="311" t="e">
        <f>Calculations!C75</f>
        <v>#VALUE!</v>
      </c>
    </row>
    <row r="37" spans="2:3" ht="15" thickBot="1">
      <c r="B37" s="306"/>
      <c r="C37" s="312"/>
    </row>
    <row r="38" spans="2:3">
      <c r="B38" s="166" t="s">
        <v>79</v>
      </c>
      <c r="C38" s="165">
        <f>'Background data'!D22</f>
        <v>0.02</v>
      </c>
    </row>
    <row r="39" spans="2:3"/>
    <row r="40" spans="2:3"/>
    <row r="41" spans="2:3"/>
    <row r="42" spans="2:3"/>
    <row r="43" spans="2:3"/>
    <row r="44" spans="2:3"/>
    <row r="45" spans="2:3"/>
    <row r="46" spans="2:3"/>
    <row r="47" spans="2:3"/>
    <row r="48" spans="2: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</sheetData>
  <sheetProtection algorithmName="SHA-512" hashValue="j3T1CAMb3no7l551jwUmQiBMdv1gkYCW1NP2cUJZG0sNLe8NLduRtNCulpr9/551LTX3tYzGWxmJv1+dmItwnw==" saltValue="iNblrXMA92GKUKYRXkqi0g==" spinCount="100000" sheet="1" objects="1" scenarios="1"/>
  <mergeCells count="6">
    <mergeCell ref="B7:B8"/>
    <mergeCell ref="C7:C8"/>
    <mergeCell ref="B34:B35"/>
    <mergeCell ref="C34:C35"/>
    <mergeCell ref="B36:B37"/>
    <mergeCell ref="C36:C3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3894C-D260-4ACA-A337-03003498491A}">
  <sheetPr codeName="Sheet1">
    <tabColor theme="0" tint="-4.9989318521683403E-2"/>
  </sheetPr>
  <dimension ref="A1:H24"/>
  <sheetViews>
    <sheetView showGridLines="0" zoomScaleNormal="100" workbookViewId="0">
      <selection activeCell="D10" sqref="D10"/>
    </sheetView>
  </sheetViews>
  <sheetFormatPr defaultColWidth="0" defaultRowHeight="14.45" zeroHeight="1" outlineLevelCol="1"/>
  <cols>
    <col min="1" max="1" width="4.7109375" customWidth="1"/>
    <col min="2" max="2" width="53.7109375" bestFit="1" customWidth="1"/>
    <col min="3" max="3" width="10.7109375" customWidth="1"/>
    <col min="4" max="4" width="12.7109375" bestFit="1" customWidth="1"/>
    <col min="5" max="5" width="17.85546875" bestFit="1" customWidth="1"/>
    <col min="6" max="6" width="63.28515625" hidden="1" customWidth="1" outlineLevel="1"/>
    <col min="7" max="7" width="16.85546875" customWidth="1" collapsed="1"/>
    <col min="8" max="8" width="8.7109375" customWidth="1"/>
    <col min="9" max="16384" width="8.7109375" hidden="1"/>
  </cols>
  <sheetData>
    <row r="1" spans="2:6" s="14" customFormat="1"/>
    <row r="2" spans="2:6" s="14" customFormat="1" ht="18">
      <c r="C2" s="70" t="s">
        <v>80</v>
      </c>
    </row>
    <row r="3" spans="2:6" s="14" customFormat="1"/>
    <row r="4" spans="2:6"/>
    <row r="5" spans="2:6"/>
    <row r="6" spans="2:6">
      <c r="B6" s="51" t="s">
        <v>81</v>
      </c>
      <c r="C6" s="52" t="s">
        <v>82</v>
      </c>
      <c r="D6" s="52" t="s">
        <v>83</v>
      </c>
      <c r="E6" s="169" t="s">
        <v>84</v>
      </c>
      <c r="F6" s="53" t="s">
        <v>85</v>
      </c>
    </row>
    <row r="7" spans="2:6" ht="16.149999999999999" customHeight="1">
      <c r="B7" s="48" t="s">
        <v>86</v>
      </c>
      <c r="C7" s="19" t="s">
        <v>87</v>
      </c>
      <c r="D7" s="285">
        <v>29.1</v>
      </c>
      <c r="E7" s="170"/>
      <c r="F7" s="167" t="s">
        <v>88</v>
      </c>
    </row>
    <row r="8" spans="2:6">
      <c r="B8" s="48" t="s">
        <v>89</v>
      </c>
      <c r="C8" s="19" t="s">
        <v>90</v>
      </c>
      <c r="D8" s="285">
        <v>150</v>
      </c>
      <c r="E8" s="171"/>
      <c r="F8" s="168" t="s">
        <v>91</v>
      </c>
    </row>
    <row r="9" spans="2:6">
      <c r="B9" s="48" t="s">
        <v>89</v>
      </c>
      <c r="C9" s="19" t="s">
        <v>92</v>
      </c>
      <c r="D9" s="285">
        <f>D8/1000</f>
        <v>0.15</v>
      </c>
      <c r="E9" s="171"/>
      <c r="F9" s="168" t="s">
        <v>91</v>
      </c>
    </row>
    <row r="10" spans="2:6">
      <c r="B10" s="99" t="s">
        <v>93</v>
      </c>
      <c r="C10" s="100" t="s">
        <v>94</v>
      </c>
      <c r="D10" s="285">
        <v>38</v>
      </c>
      <c r="E10" s="171" t="s">
        <v>95</v>
      </c>
      <c r="F10" s="116" t="s">
        <v>96</v>
      </c>
    </row>
    <row r="11" spans="2:6">
      <c r="B11" s="99" t="s">
        <v>97</v>
      </c>
      <c r="C11" s="117" t="s">
        <v>98</v>
      </c>
      <c r="D11" s="286">
        <f>24600+2000</f>
        <v>26600</v>
      </c>
      <c r="E11" s="171"/>
      <c r="F11" s="116" t="s">
        <v>96</v>
      </c>
    </row>
    <row r="12" spans="2:6">
      <c r="B12" s="99" t="s">
        <v>99</v>
      </c>
      <c r="C12" s="117" t="s">
        <v>100</v>
      </c>
      <c r="D12" s="287">
        <v>11.875</v>
      </c>
      <c r="E12" s="171"/>
      <c r="F12" s="116" t="s">
        <v>96</v>
      </c>
    </row>
    <row r="13" spans="2:6">
      <c r="B13" s="99" t="s">
        <v>101</v>
      </c>
      <c r="C13" s="117" t="s">
        <v>98</v>
      </c>
      <c r="D13" s="286">
        <f>D11+200000</f>
        <v>226600</v>
      </c>
      <c r="E13" s="171" t="s">
        <v>102</v>
      </c>
      <c r="F13" s="116" t="s">
        <v>96</v>
      </c>
    </row>
    <row r="14" spans="2:6">
      <c r="B14" s="99" t="s">
        <v>103</v>
      </c>
      <c r="C14" s="117" t="s">
        <v>100</v>
      </c>
      <c r="D14" s="287">
        <f>D12+2.5</f>
        <v>14.375</v>
      </c>
      <c r="E14" s="171"/>
      <c r="F14" s="116"/>
    </row>
    <row r="15" spans="2:6">
      <c r="B15" s="99" t="s">
        <v>104</v>
      </c>
      <c r="C15" s="117" t="s">
        <v>98</v>
      </c>
      <c r="D15" s="286">
        <v>21839</v>
      </c>
      <c r="E15" s="171"/>
      <c r="F15" s="116" t="s">
        <v>96</v>
      </c>
    </row>
    <row r="16" spans="2:6">
      <c r="B16" s="99" t="s">
        <v>105</v>
      </c>
      <c r="C16" s="117" t="s">
        <v>100</v>
      </c>
      <c r="D16" s="287">
        <f>AVERAGE(6.4,8.7)</f>
        <v>7.55</v>
      </c>
      <c r="E16" s="171"/>
      <c r="F16" s="116" t="s">
        <v>96</v>
      </c>
    </row>
    <row r="17" spans="2:6">
      <c r="B17" s="99" t="s">
        <v>106</v>
      </c>
      <c r="C17" s="117" t="s">
        <v>98</v>
      </c>
      <c r="D17" s="286">
        <f>D15+40000</f>
        <v>61839</v>
      </c>
      <c r="E17" s="171" t="s">
        <v>107</v>
      </c>
      <c r="F17" s="116" t="s">
        <v>96</v>
      </c>
    </row>
    <row r="18" spans="2:6">
      <c r="B18" s="99" t="s">
        <v>108</v>
      </c>
      <c r="C18" s="117" t="s">
        <v>100</v>
      </c>
      <c r="D18" s="287">
        <f>D16+2</f>
        <v>9.5500000000000007</v>
      </c>
      <c r="E18" s="171"/>
      <c r="F18" s="116"/>
    </row>
    <row r="19" spans="2:6">
      <c r="B19" s="48" t="s">
        <v>109</v>
      </c>
      <c r="C19" s="19" t="s">
        <v>110</v>
      </c>
      <c r="D19" s="288">
        <v>0.36599999999999999</v>
      </c>
      <c r="E19" s="171"/>
      <c r="F19" s="187" t="s">
        <v>111</v>
      </c>
    </row>
    <row r="20" spans="2:6">
      <c r="B20" s="48" t="s">
        <v>112</v>
      </c>
      <c r="C20" s="19" t="s">
        <v>113</v>
      </c>
      <c r="D20" s="288">
        <v>300</v>
      </c>
      <c r="E20" s="171"/>
      <c r="F20" s="187" t="s">
        <v>114</v>
      </c>
    </row>
    <row r="21" spans="2:6">
      <c r="B21" s="99" t="s">
        <v>115</v>
      </c>
      <c r="C21" s="117" t="s">
        <v>116</v>
      </c>
      <c r="D21" s="289">
        <v>2.6742140063999997E-2</v>
      </c>
      <c r="E21" s="186"/>
      <c r="F21" s="116" t="s">
        <v>117</v>
      </c>
    </row>
    <row r="22" spans="2:6">
      <c r="B22" s="49" t="s">
        <v>79</v>
      </c>
      <c r="C22" s="50" t="s">
        <v>118</v>
      </c>
      <c r="D22" s="290">
        <v>0.02</v>
      </c>
      <c r="E22" s="172" t="s">
        <v>119</v>
      </c>
      <c r="F22" s="173" t="s">
        <v>120</v>
      </c>
    </row>
    <row r="23" spans="2:6"/>
    <row r="24" spans="2:6"/>
  </sheetData>
  <hyperlinks>
    <hyperlink ref="F22" r:id="rId1" xr:uid="{97F40C66-A410-48E1-88EA-DA0551D5B6DE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E2C48-9461-4D09-9A96-9956E12BFC75}">
  <sheetPr codeName="Sheet7">
    <tabColor theme="0" tint="-4.9989318521683403E-2"/>
  </sheetPr>
  <dimension ref="A1:AE75"/>
  <sheetViews>
    <sheetView showGridLines="0" zoomScale="90" zoomScaleNormal="90" workbookViewId="0">
      <pane xSplit="3" ySplit="8" topLeftCell="D9" activePane="bottomRight" state="frozen"/>
      <selection pane="bottomRight" activeCell="J18" sqref="J18"/>
      <selection pane="bottomLeft" activeCell="A9" sqref="A9"/>
      <selection pane="topRight" activeCell="D1" sqref="D1"/>
    </sheetView>
  </sheetViews>
  <sheetFormatPr defaultColWidth="0" defaultRowHeight="14.45"/>
  <cols>
    <col min="1" max="1" width="5.7109375" customWidth="1"/>
    <col min="2" max="2" width="30.85546875" bestFit="1" customWidth="1"/>
    <col min="3" max="3" width="29" bestFit="1" customWidth="1"/>
    <col min="4" max="4" width="13.7109375" customWidth="1"/>
    <col min="5" max="6" width="13.7109375" bestFit="1" customWidth="1"/>
    <col min="7" max="7" width="18.28515625" bestFit="1" customWidth="1"/>
    <col min="8" max="8" width="24.28515625" bestFit="1" customWidth="1"/>
    <col min="9" max="9" width="15.28515625" style="114" bestFit="1" customWidth="1"/>
    <col min="10" max="10" width="16.7109375" style="115" bestFit="1" customWidth="1"/>
    <col min="11" max="11" width="10" bestFit="1" customWidth="1"/>
    <col min="12" max="14" width="8.7109375" customWidth="1"/>
    <col min="15" max="31" width="0" hidden="1" customWidth="1"/>
    <col min="32" max="16384" width="8.7109375" hidden="1"/>
  </cols>
  <sheetData>
    <row r="1" spans="1:11" s="101" customFormat="1">
      <c r="I1" s="102"/>
    </row>
    <row r="2" spans="1:11" s="101" customFormat="1" ht="29.45">
      <c r="A2" s="103"/>
      <c r="B2" s="103"/>
      <c r="C2" s="104" t="s">
        <v>121</v>
      </c>
      <c r="D2" s="103"/>
      <c r="E2" s="103"/>
      <c r="F2" s="103"/>
      <c r="G2" s="103"/>
      <c r="H2" s="103"/>
      <c r="I2" s="105"/>
    </row>
    <row r="3" spans="1:11" s="101" customFormat="1">
      <c r="I3" s="102"/>
    </row>
    <row r="4" spans="1:11" s="101" customFormat="1" ht="7.9" customHeight="1">
      <c r="I4" s="102"/>
    </row>
    <row r="5" spans="1:11">
      <c r="I5" s="106"/>
      <c r="J5"/>
    </row>
    <row r="7" spans="1:11" ht="18.399999999999999" customHeight="1">
      <c r="B7" s="313" t="s">
        <v>122</v>
      </c>
      <c r="C7" s="314"/>
      <c r="D7" s="314"/>
      <c r="E7" s="314"/>
      <c r="F7" s="314"/>
      <c r="G7" s="314"/>
      <c r="H7" s="314"/>
      <c r="I7" s="315"/>
      <c r="J7" s="122" t="s">
        <v>123</v>
      </c>
    </row>
    <row r="8" spans="1:11" ht="15.6">
      <c r="B8" s="107" t="s">
        <v>124</v>
      </c>
      <c r="C8" s="107" t="s">
        <v>125</v>
      </c>
      <c r="D8" s="107" t="s">
        <v>126</v>
      </c>
      <c r="E8" s="107" t="s">
        <v>82</v>
      </c>
      <c r="F8" s="107" t="s">
        <v>127</v>
      </c>
      <c r="G8" s="107" t="s">
        <v>128</v>
      </c>
      <c r="H8" s="107" t="s">
        <v>129</v>
      </c>
      <c r="I8" s="108" t="s">
        <v>130</v>
      </c>
      <c r="J8" s="123"/>
    </row>
    <row r="9" spans="1:11">
      <c r="B9" s="109" t="s">
        <v>7</v>
      </c>
      <c r="C9" s="110" t="s">
        <v>131</v>
      </c>
      <c r="D9" s="110" t="s">
        <v>132</v>
      </c>
      <c r="E9" s="110" t="s">
        <v>133</v>
      </c>
      <c r="F9" s="110">
        <f>1-(1-'Input sheet'!D40)*'Input sheet'!I40</f>
        <v>0</v>
      </c>
      <c r="G9" s="111">
        <f>'Input sheet'!D10*(1-'Input sheet'!I12*(1-'Input sheet'!D12))</f>
        <v>0</v>
      </c>
      <c r="H9" s="110"/>
      <c r="I9" s="125"/>
      <c r="J9" s="198">
        <v>1</v>
      </c>
    </row>
    <row r="10" spans="1:11">
      <c r="B10" s="174"/>
      <c r="C10" t="s">
        <v>134</v>
      </c>
      <c r="D10" t="s">
        <v>132</v>
      </c>
      <c r="E10" s="141" t="s">
        <v>135</v>
      </c>
      <c r="F10" s="141">
        <f>'Input sheet'!I11</f>
        <v>0</v>
      </c>
      <c r="G10" s="142">
        <f>'Background data'!D7</f>
        <v>29.1</v>
      </c>
      <c r="J10" s="179">
        <f>'Input sheet'!D11</f>
        <v>0</v>
      </c>
    </row>
    <row r="11" spans="1:11">
      <c r="B11" s="109" t="s">
        <v>136</v>
      </c>
      <c r="C11" s="110" t="s">
        <v>95</v>
      </c>
      <c r="D11" s="110" t="s">
        <v>132</v>
      </c>
      <c r="E11" t="s">
        <v>137</v>
      </c>
      <c r="F11">
        <v>1</v>
      </c>
      <c r="G11" s="98">
        <f>-'Background data'!D10/1000</f>
        <v>-3.7999999999999999E-2</v>
      </c>
      <c r="H11" s="110"/>
      <c r="I11" s="112"/>
      <c r="J11" s="131">
        <f>'Input sheet'!D31*'Input sheet'!D30</f>
        <v>0</v>
      </c>
      <c r="K11" s="118"/>
    </row>
    <row r="12" spans="1:11">
      <c r="B12" s="109" t="s">
        <v>138</v>
      </c>
      <c r="C12" s="110" t="s">
        <v>139</v>
      </c>
      <c r="D12" s="110" t="s">
        <v>132</v>
      </c>
      <c r="E12" s="110" t="s">
        <v>133</v>
      </c>
      <c r="F12" s="110">
        <f>'Input sheet'!I33</f>
        <v>1</v>
      </c>
      <c r="G12" s="111">
        <f>-'Input sheet'!D10*'Input sheet'!D33</f>
        <v>0</v>
      </c>
      <c r="H12" s="110"/>
      <c r="I12" s="112"/>
      <c r="J12" s="198">
        <v>1</v>
      </c>
      <c r="K12" s="118"/>
    </row>
    <row r="13" spans="1:11">
      <c r="B13" s="185" t="s">
        <v>140</v>
      </c>
      <c r="C13" t="s">
        <v>141</v>
      </c>
      <c r="D13" t="s">
        <v>132</v>
      </c>
      <c r="E13" t="s">
        <v>142</v>
      </c>
      <c r="F13">
        <f>'Input sheet'!I34*'Input sheet'!I35</f>
        <v>1</v>
      </c>
      <c r="G13" s="98">
        <f>-'Background data'!D19</f>
        <v>-0.36599999999999999</v>
      </c>
      <c r="I13" s="181"/>
      <c r="J13" s="179">
        <f>'Input sheet'!D34/1000*'Input sheet'!D35</f>
        <v>0</v>
      </c>
      <c r="K13" s="118"/>
    </row>
    <row r="14" spans="1:11">
      <c r="B14" s="185"/>
      <c r="C14" t="s">
        <v>143</v>
      </c>
      <c r="D14" t="s">
        <v>132</v>
      </c>
      <c r="E14" t="s">
        <v>144</v>
      </c>
      <c r="F14">
        <f>'Input sheet'!I36*IF('Input sheet'!D36="Yes",1,0)</f>
        <v>0</v>
      </c>
      <c r="G14" s="98">
        <f>-'Background data'!D20</f>
        <v>-300</v>
      </c>
      <c r="I14" s="181"/>
      <c r="J14" s="179">
        <f>'Input sheet'!D34/1000</f>
        <v>0</v>
      </c>
      <c r="K14" s="118"/>
    </row>
    <row r="15" spans="1:11">
      <c r="B15" s="144"/>
      <c r="C15" t="s">
        <v>145</v>
      </c>
      <c r="D15" t="s">
        <v>132</v>
      </c>
      <c r="E15" t="s">
        <v>133</v>
      </c>
      <c r="F15">
        <f>'Input sheet'!I37</f>
        <v>0</v>
      </c>
      <c r="G15" s="98">
        <f>-'Input sheet'!D37</f>
        <v>0</v>
      </c>
      <c r="I15" s="181"/>
      <c r="J15" s="179">
        <f>1</f>
        <v>1</v>
      </c>
      <c r="K15" s="118"/>
    </row>
    <row r="16" spans="1:11">
      <c r="B16" s="146" t="s">
        <v>146</v>
      </c>
      <c r="C16" s="147" t="s">
        <v>147</v>
      </c>
      <c r="D16" s="189" t="s">
        <v>132</v>
      </c>
      <c r="E16" s="147" t="s">
        <v>135</v>
      </c>
      <c r="F16" s="147">
        <f>'Input sheet'!I39</f>
        <v>1</v>
      </c>
      <c r="G16" s="148">
        <f>-'Background data'!D7</f>
        <v>-29.1</v>
      </c>
      <c r="H16" s="147"/>
      <c r="I16" s="149"/>
      <c r="J16" s="188">
        <f>'Input sheet'!D39</f>
        <v>0</v>
      </c>
      <c r="K16" s="118"/>
    </row>
    <row r="17" spans="2:11">
      <c r="B17" s="138" t="s">
        <v>148</v>
      </c>
      <c r="C17" t="s">
        <v>147</v>
      </c>
      <c r="D17" t="s">
        <v>132</v>
      </c>
      <c r="E17" t="s">
        <v>135</v>
      </c>
      <c r="F17" cm="1">
        <f t="array" ref="F17">_xlfn.IFS('Input sheet'!D19="Manual",1,'Input sheet'!D19="Automated",0)*(_xlfn.IFS('Input sheet'!D19="Manual",1,'Input sheet'!D19="Automated",0)-(1-'Input sheet'!D40)*'Input sheet'!I40)</f>
        <v>0</v>
      </c>
      <c r="G17" s="98">
        <f>-'Background data'!D7</f>
        <v>-29.1</v>
      </c>
      <c r="I17" s="181"/>
      <c r="J17" s="175" t="e">
        <f>'Input sheet'!D43/'Input sheet'!D42</f>
        <v>#DIV/0!</v>
      </c>
      <c r="K17" s="113"/>
    </row>
    <row r="18" spans="2:11">
      <c r="B18" s="174"/>
      <c r="C18" s="141" t="s">
        <v>149</v>
      </c>
      <c r="D18" s="141" t="s">
        <v>132</v>
      </c>
      <c r="E18" s="141" t="s">
        <v>150</v>
      </c>
      <c r="F18" s="141">
        <f>1-(1-'Input sheet'!D40)*'Input sheet'!I40</f>
        <v>0</v>
      </c>
      <c r="G18" s="142">
        <f>-'Background data'!D9</f>
        <v>-0.15</v>
      </c>
      <c r="H18" s="141"/>
      <c r="I18" s="143"/>
      <c r="J18" s="176" t="e" cm="1">
        <f t="array" ref="J18">'Input sheet'!D43*_xlfn.IFS(AND('Input sheet'!D18="Induction",'Input sheet'!D19="Manual"),'Background data'!D12,AND('Input sheet'!D18="Induction",'Input sheet'!D19="Automated"),'Background data'!D14,AND('Input sheet'!D18="Convection",'Input sheet'!D19="Manual"),'Background data'!D16,AND('Input sheet'!D18="Convection",'Input sheet'!D19="Automated"),'Background data'!D18)/'Input sheet'!D42</f>
        <v>#DIV/0!</v>
      </c>
      <c r="K18" s="113"/>
    </row>
    <row r="19" spans="2:11">
      <c r="B19" s="180" t="s">
        <v>151</v>
      </c>
      <c r="C19" s="133" t="s">
        <v>147</v>
      </c>
      <c r="D19" s="133" t="s">
        <v>132</v>
      </c>
      <c r="E19" t="s">
        <v>135</v>
      </c>
      <c r="F19" s="133">
        <f>'Input sheet'!I45*('Input sheet'!I45-(1-'Input sheet'!D40)*'Input sheet'!I40)</f>
        <v>0</v>
      </c>
      <c r="G19" s="139">
        <f>-'Background data'!D7</f>
        <v>-29.1</v>
      </c>
      <c r="H19" s="133"/>
      <c r="J19" s="179">
        <f>'Input sheet'!D47</f>
        <v>0</v>
      </c>
      <c r="K19" s="113"/>
    </row>
    <row r="20" spans="2:11">
      <c r="B20" s="174"/>
      <c r="C20" t="s">
        <v>152</v>
      </c>
      <c r="D20" t="s">
        <v>132</v>
      </c>
      <c r="E20" t="s">
        <v>153</v>
      </c>
      <c r="F20">
        <f>'Input sheet'!I46*('Input sheet'!I46-(1-'Input sheet'!D40)*'Input sheet'!I40)</f>
        <v>0</v>
      </c>
      <c r="G20" s="98">
        <f>-'Background data'!D21</f>
        <v>-2.6742140063999997E-2</v>
      </c>
      <c r="J20" s="179">
        <f>'Input sheet'!D46</f>
        <v>0</v>
      </c>
      <c r="K20" s="113"/>
    </row>
    <row r="21" spans="2:11">
      <c r="B21" s="132" t="s">
        <v>154</v>
      </c>
      <c r="C21" s="110" t="s">
        <v>147</v>
      </c>
      <c r="D21" s="134" t="s">
        <v>132</v>
      </c>
      <c r="E21" s="134" t="s">
        <v>135</v>
      </c>
      <c r="F21" s="110">
        <f>'Input sheet'!I47</f>
        <v>0</v>
      </c>
      <c r="G21" s="135">
        <f>-'Background data'!D7</f>
        <v>-29.1</v>
      </c>
      <c r="H21" s="134"/>
      <c r="I21" s="136"/>
      <c r="J21" s="137">
        <f>'Input sheet'!D47</f>
        <v>0</v>
      </c>
      <c r="K21" s="113"/>
    </row>
    <row r="22" spans="2:11">
      <c r="B22" s="2"/>
      <c r="C22" s="133"/>
      <c r="F22" s="133"/>
      <c r="G22" s="98"/>
      <c r="J22" s="127"/>
      <c r="K22" s="113"/>
    </row>
    <row r="23" spans="2:11">
      <c r="B23" s="109" t="s">
        <v>7</v>
      </c>
      <c r="C23" s="110" t="s">
        <v>131</v>
      </c>
      <c r="D23" s="110" t="s">
        <v>155</v>
      </c>
      <c r="E23" s="110" t="s">
        <v>98</v>
      </c>
      <c r="F23" s="110"/>
      <c r="G23" s="111"/>
      <c r="H23" s="110"/>
      <c r="I23" s="112"/>
      <c r="J23" s="192">
        <f t="shared" ref="J23:J28" si="0">J9*$G9*$F9</f>
        <v>0</v>
      </c>
      <c r="K23" s="98"/>
    </row>
    <row r="24" spans="2:11">
      <c r="B24" s="174"/>
      <c r="C24" t="s">
        <v>134</v>
      </c>
      <c r="D24" t="s">
        <v>155</v>
      </c>
      <c r="E24" t="s">
        <v>98</v>
      </c>
      <c r="G24" s="98"/>
      <c r="J24" s="193">
        <f t="shared" si="0"/>
        <v>0</v>
      </c>
      <c r="K24" s="98"/>
    </row>
    <row r="25" spans="2:11">
      <c r="B25" s="109" t="s">
        <v>136</v>
      </c>
      <c r="C25" s="147" t="s">
        <v>95</v>
      </c>
      <c r="D25" s="147" t="s">
        <v>155</v>
      </c>
      <c r="E25" s="147" t="s">
        <v>98</v>
      </c>
      <c r="F25" s="147"/>
      <c r="G25" s="148"/>
      <c r="H25" s="147"/>
      <c r="I25" s="149"/>
      <c r="J25" s="194">
        <f t="shared" si="0"/>
        <v>0</v>
      </c>
      <c r="K25" s="98"/>
    </row>
    <row r="26" spans="2:11">
      <c r="B26" s="109" t="s">
        <v>138</v>
      </c>
      <c r="C26" s="133" t="s">
        <v>139</v>
      </c>
      <c r="D26" t="s">
        <v>155</v>
      </c>
      <c r="E26" t="s">
        <v>98</v>
      </c>
      <c r="G26" s="98"/>
      <c r="J26" s="193">
        <f t="shared" si="0"/>
        <v>0</v>
      </c>
      <c r="K26" s="98"/>
    </row>
    <row r="27" spans="2:11">
      <c r="B27" s="185" t="s">
        <v>140</v>
      </c>
      <c r="C27" t="s">
        <v>141</v>
      </c>
      <c r="D27" t="s">
        <v>155</v>
      </c>
      <c r="E27" t="s">
        <v>98</v>
      </c>
      <c r="G27" s="98"/>
      <c r="J27" s="195">
        <f t="shared" si="0"/>
        <v>0</v>
      </c>
      <c r="K27" s="98"/>
    </row>
    <row r="28" spans="2:11">
      <c r="B28" s="185"/>
      <c r="C28" t="s">
        <v>143</v>
      </c>
      <c r="D28" t="s">
        <v>155</v>
      </c>
      <c r="E28" t="s">
        <v>98</v>
      </c>
      <c r="G28" s="98"/>
      <c r="J28" s="195">
        <f t="shared" si="0"/>
        <v>0</v>
      </c>
      <c r="K28" s="98"/>
    </row>
    <row r="29" spans="2:11" ht="15.6" customHeight="1">
      <c r="B29" s="144"/>
      <c r="C29" s="141" t="s">
        <v>145</v>
      </c>
      <c r="D29" s="141" t="s">
        <v>155</v>
      </c>
      <c r="E29" s="141" t="s">
        <v>98</v>
      </c>
      <c r="F29" s="141"/>
      <c r="G29" s="142"/>
      <c r="H29" s="141"/>
      <c r="I29" s="190"/>
      <c r="J29" s="196">
        <f>F15*G15*J15</f>
        <v>0</v>
      </c>
      <c r="K29" s="98"/>
    </row>
    <row r="30" spans="2:11" ht="15.6" customHeight="1">
      <c r="B30" s="146" t="s">
        <v>146</v>
      </c>
      <c r="C30" s="147" t="s">
        <v>147</v>
      </c>
      <c r="D30" s="141" t="s">
        <v>155</v>
      </c>
      <c r="E30" s="141" t="s">
        <v>98</v>
      </c>
      <c r="F30" s="141"/>
      <c r="G30" s="142"/>
      <c r="H30" s="141"/>
      <c r="I30" s="190"/>
      <c r="J30" s="196">
        <f>F16*G16*J16</f>
        <v>0</v>
      </c>
      <c r="K30" s="98"/>
    </row>
    <row r="31" spans="2:11" ht="15.6" customHeight="1">
      <c r="B31" s="138" t="s">
        <v>148</v>
      </c>
      <c r="C31" t="s">
        <v>147</v>
      </c>
      <c r="D31" t="s">
        <v>155</v>
      </c>
      <c r="E31" t="s">
        <v>98</v>
      </c>
      <c r="G31" s="98"/>
      <c r="J31" s="193" t="e">
        <f>J17*$G17*$F17</f>
        <v>#DIV/0!</v>
      </c>
      <c r="K31" s="98"/>
    </row>
    <row r="32" spans="2:11">
      <c r="B32" s="174"/>
      <c r="C32" t="s">
        <v>149</v>
      </c>
      <c r="D32" t="s">
        <v>155</v>
      </c>
      <c r="E32" t="s">
        <v>98</v>
      </c>
      <c r="G32" s="98"/>
      <c r="J32" s="193" t="e">
        <f>J18*$G18*$F18</f>
        <v>#DIV/0!</v>
      </c>
      <c r="K32" s="113"/>
    </row>
    <row r="33" spans="2:11">
      <c r="B33" s="138" t="s">
        <v>151</v>
      </c>
      <c r="C33" s="133" t="s">
        <v>147</v>
      </c>
      <c r="D33" s="133" t="s">
        <v>155</v>
      </c>
      <c r="E33" s="133" t="s">
        <v>98</v>
      </c>
      <c r="F33" s="133"/>
      <c r="G33" s="139"/>
      <c r="H33" s="133"/>
      <c r="I33" s="140"/>
      <c r="J33" s="192">
        <f>J19*$G19*$F19</f>
        <v>0</v>
      </c>
      <c r="K33" s="98"/>
    </row>
    <row r="34" spans="2:11">
      <c r="B34" s="145"/>
      <c r="C34" s="141" t="s">
        <v>152</v>
      </c>
      <c r="D34" s="141" t="s">
        <v>155</v>
      </c>
      <c r="E34" s="141" t="s">
        <v>98</v>
      </c>
      <c r="F34" s="141"/>
      <c r="G34" s="142"/>
      <c r="H34" s="141"/>
      <c r="I34" s="190"/>
      <c r="J34" s="291">
        <f>J20*$G20*$F20</f>
        <v>0</v>
      </c>
      <c r="K34" s="98"/>
    </row>
    <row r="35" spans="2:11">
      <c r="B35" s="191" t="s">
        <v>154</v>
      </c>
      <c r="C35" s="141" t="s">
        <v>147</v>
      </c>
      <c r="D35" s="141" t="s">
        <v>155</v>
      </c>
      <c r="E35" s="141" t="s">
        <v>98</v>
      </c>
      <c r="F35" s="141"/>
      <c r="G35" s="142"/>
      <c r="H35" s="141"/>
      <c r="I35" s="143"/>
      <c r="J35" s="197">
        <f>J21*$G21*$F21</f>
        <v>0</v>
      </c>
      <c r="K35" s="98"/>
    </row>
    <row r="36" spans="2:11">
      <c r="B36" s="124"/>
      <c r="G36" s="98"/>
      <c r="K36" s="98"/>
    </row>
    <row r="37" spans="2:11">
      <c r="K37" s="98"/>
    </row>
    <row r="38" spans="2:11">
      <c r="J38" s="150" t="e">
        <f>SUM(J23:J35)</f>
        <v>#DIV/0!</v>
      </c>
      <c r="K38" s="98"/>
    </row>
    <row r="39" spans="2:11">
      <c r="B39" s="128"/>
      <c r="C39" s="128"/>
    </row>
    <row r="40" spans="2:11">
      <c r="B40" s="129" t="s">
        <v>156</v>
      </c>
      <c r="C40" s="128"/>
    </row>
    <row r="41" spans="2:11" ht="14.45" customHeight="1">
      <c r="B41" s="199" t="s">
        <v>157</v>
      </c>
      <c r="C41" s="130">
        <f>J23+J24</f>
        <v>0</v>
      </c>
    </row>
    <row r="42" spans="2:11">
      <c r="B42" s="128" t="s">
        <v>158</v>
      </c>
      <c r="C42" s="130">
        <f>J25</f>
        <v>0</v>
      </c>
    </row>
    <row r="43" spans="2:11" ht="14.45" customHeight="1">
      <c r="B43" s="199" t="s">
        <v>159</v>
      </c>
      <c r="C43" s="130">
        <f>SUM(J26:J29)</f>
        <v>0</v>
      </c>
    </row>
    <row r="44" spans="2:11">
      <c r="B44" s="128" t="s">
        <v>146</v>
      </c>
      <c r="C44" s="130">
        <f>J30</f>
        <v>0</v>
      </c>
    </row>
    <row r="45" spans="2:11">
      <c r="B45" s="128" t="s">
        <v>160</v>
      </c>
      <c r="C45" s="130" t="e">
        <f>SUM(J31:J32)</f>
        <v>#DIV/0!</v>
      </c>
    </row>
    <row r="46" spans="2:11">
      <c r="B46" s="128" t="s">
        <v>115</v>
      </c>
      <c r="C46" s="130">
        <f>J33+J34</f>
        <v>0</v>
      </c>
      <c r="F46" s="98"/>
    </row>
    <row r="47" spans="2:11" ht="15" thickBot="1">
      <c r="B47" s="177" t="s">
        <v>161</v>
      </c>
      <c r="C47" s="178">
        <f>J35</f>
        <v>0</v>
      </c>
    </row>
    <row r="48" spans="2:11" ht="15" thickTop="1">
      <c r="B48" s="128" t="s">
        <v>162</v>
      </c>
      <c r="C48" s="130" t="e">
        <f>SUM(C41:C47)</f>
        <v>#DIV/0!</v>
      </c>
      <c r="D48" t="s">
        <v>163</v>
      </c>
      <c r="E48" t="e">
        <f>C48=J38</f>
        <v>#DIV/0!</v>
      </c>
    </row>
    <row r="49" spans="1:14" ht="15" thickBot="1">
      <c r="A49" s="151"/>
      <c r="B49" s="152"/>
      <c r="C49" s="152"/>
      <c r="D49" s="151"/>
      <c r="E49" s="151"/>
      <c r="F49" s="151"/>
      <c r="G49" s="151"/>
      <c r="H49" s="151"/>
      <c r="I49" s="153"/>
      <c r="J49" s="154"/>
      <c r="K49" s="151"/>
      <c r="L49" s="151"/>
      <c r="M49" s="151"/>
      <c r="N49" s="151"/>
    </row>
    <row r="50" spans="1:14" ht="15" thickTop="1">
      <c r="B50" s="155"/>
      <c r="C50" s="155"/>
    </row>
    <row r="51" spans="1:14">
      <c r="B51" s="2" t="s">
        <v>164</v>
      </c>
      <c r="C51" s="6">
        <f>'Input sheet'!D26</f>
        <v>0</v>
      </c>
      <c r="J51"/>
      <c r="K51" s="98"/>
    </row>
    <row r="53" spans="1:14">
      <c r="B53" s="156" t="s">
        <v>165</v>
      </c>
      <c r="C53" s="156" t="s">
        <v>127</v>
      </c>
      <c r="D53" s="156" t="s">
        <v>166</v>
      </c>
      <c r="E53" s="160" t="s">
        <v>167</v>
      </c>
      <c r="F53" s="163" t="s">
        <v>168</v>
      </c>
      <c r="G53" s="163" t="s">
        <v>169</v>
      </c>
    </row>
    <row r="54" spans="1:14">
      <c r="B54" s="157">
        <v>1</v>
      </c>
      <c r="C54" s="162" cm="1">
        <f t="array" ref="C54">_xlfn.IFS($C$51-B54&gt;=0,1,$C$51-B54&gt;-1,$C$51-B54+1,$C$51-B54&lt;=-1,0)</f>
        <v>0</v>
      </c>
      <c r="D54" s="158">
        <f>-C54*('Input sheet'!D21*'Input sheet'!I21+'Input sheet'!D23*'Input sheet'!I23+'Input sheet'!D24*'Input sheet'!I24+'Input sheet'!D25*'Input sheet'!I25)</f>
        <v>0</v>
      </c>
      <c r="E54" s="159" t="e">
        <f>C54*J38*'Input sheet'!D51*('Input sheet'!D53*'Input sheet'!I53+'Input sheet'!D52*'Input sheet'!I52)</f>
        <v>#DIV/0!</v>
      </c>
      <c r="F54" s="164" t="e">
        <f>D54+E54</f>
        <v>#DIV/0!</v>
      </c>
      <c r="G54" s="164" t="e">
        <f>F54</f>
        <v>#DIV/0!</v>
      </c>
      <c r="H54" s="183"/>
      <c r="I54" s="184"/>
      <c r="J54"/>
    </row>
    <row r="55" spans="1:14">
      <c r="B55" s="157">
        <v>2</v>
      </c>
      <c r="C55" s="162" cm="1">
        <f t="array" ref="C55">_xlfn.IFS($C$51-B55&gt;=0,1,$C$51-B55&gt;-1,$C$51-B55+1,$C$51-B55&lt;=-1,0)</f>
        <v>0</v>
      </c>
      <c r="D55" s="159"/>
      <c r="E55" s="159" t="e">
        <f>C55*$E$54*(1+'Background data'!$D$22)^B54</f>
        <v>#DIV/0!</v>
      </c>
      <c r="F55" s="164" t="e">
        <f t="shared" ref="F55:F73" si="1">D55+E55</f>
        <v>#DIV/0!</v>
      </c>
      <c r="G55" s="164" t="e">
        <f>G54+F55</f>
        <v>#DIV/0!</v>
      </c>
      <c r="H55" s="183"/>
      <c r="I55" s="183"/>
    </row>
    <row r="56" spans="1:14">
      <c r="B56" s="157">
        <v>3</v>
      </c>
      <c r="C56" s="162" cm="1">
        <f t="array" ref="C56">_xlfn.IFS($C$51-B56&gt;=0,1,$C$51-B56&gt;-1,$C$51-B56+1,$C$51-B56&lt;=-1,0)</f>
        <v>0</v>
      </c>
      <c r="D56" s="157"/>
      <c r="E56" s="159" t="e">
        <f>C56*$E$54*(1+'Background data'!$D$22)^B55</f>
        <v>#DIV/0!</v>
      </c>
      <c r="F56" s="164" t="e">
        <f t="shared" si="1"/>
        <v>#DIV/0!</v>
      </c>
      <c r="G56" s="164" t="e">
        <f t="shared" ref="G56:G73" si="2">G55+F56</f>
        <v>#DIV/0!</v>
      </c>
      <c r="H56" s="183"/>
      <c r="I56" s="183"/>
    </row>
    <row r="57" spans="1:14">
      <c r="B57" s="157">
        <v>4</v>
      </c>
      <c r="C57" s="162" cm="1">
        <f t="array" ref="C57">_xlfn.IFS($C$51-B57&gt;=0,1,$C$51-B57&gt;-1,$C$51-B57+1,$C$51-B57&lt;=-1,0)</f>
        <v>0</v>
      </c>
      <c r="D57" s="157"/>
      <c r="E57" s="159" t="e">
        <f>C57*$E$54*(1+'Background data'!$D$22)^B56</f>
        <v>#DIV/0!</v>
      </c>
      <c r="F57" s="164" t="e">
        <f t="shared" si="1"/>
        <v>#DIV/0!</v>
      </c>
      <c r="G57" s="164" t="e">
        <f t="shared" si="2"/>
        <v>#DIV/0!</v>
      </c>
      <c r="H57" s="183"/>
      <c r="I57" s="183"/>
    </row>
    <row r="58" spans="1:14">
      <c r="B58" s="157">
        <v>5</v>
      </c>
      <c r="C58" s="162" cm="1">
        <f t="array" ref="C58">_xlfn.IFS($C$51-B58&gt;=0,1,$C$51-B58&gt;-1,$C$51-B58+1,$C$51-B58&lt;=-1,0)</f>
        <v>0</v>
      </c>
      <c r="D58" s="157"/>
      <c r="E58" s="159" t="e">
        <f>C58*$E$54*(1+'Background data'!$D$22)^B57</f>
        <v>#DIV/0!</v>
      </c>
      <c r="F58" s="164" t="e">
        <f t="shared" si="1"/>
        <v>#DIV/0!</v>
      </c>
      <c r="G58" s="164" t="e">
        <f t="shared" si="2"/>
        <v>#DIV/0!</v>
      </c>
      <c r="H58" s="183"/>
      <c r="I58" s="183"/>
    </row>
    <row r="59" spans="1:14">
      <c r="B59" s="157">
        <v>6</v>
      </c>
      <c r="C59" s="162" cm="1">
        <f t="array" ref="C59">_xlfn.IFS($C$51-B59&gt;=0,1,$C$51-B59&gt;-1,$C$51-B59+1,$C$51-B59&lt;=-1,0)</f>
        <v>0</v>
      </c>
      <c r="D59" s="157"/>
      <c r="E59" s="159" t="e">
        <f>C59*$E$54*(1+'Background data'!$D$22)^B58</f>
        <v>#DIV/0!</v>
      </c>
      <c r="F59" s="164" t="e">
        <f t="shared" si="1"/>
        <v>#DIV/0!</v>
      </c>
      <c r="G59" s="164" t="e">
        <f t="shared" si="2"/>
        <v>#DIV/0!</v>
      </c>
      <c r="H59" s="183"/>
      <c r="I59" s="183"/>
    </row>
    <row r="60" spans="1:14">
      <c r="B60" s="157">
        <v>7</v>
      </c>
      <c r="C60" s="162" cm="1">
        <f t="array" ref="C60">_xlfn.IFS($C$51-B60&gt;=0,1,$C$51-B60&gt;-1,$C$51-B60+1,$C$51-B60&lt;=-1,0)</f>
        <v>0</v>
      </c>
      <c r="D60" s="157"/>
      <c r="E60" s="159" t="e">
        <f>C60*$E$54*(1+'Background data'!$D$22)^B59</f>
        <v>#DIV/0!</v>
      </c>
      <c r="F60" s="164" t="e">
        <f t="shared" si="1"/>
        <v>#DIV/0!</v>
      </c>
      <c r="G60" s="164" t="e">
        <f t="shared" si="2"/>
        <v>#DIV/0!</v>
      </c>
      <c r="H60" s="183"/>
      <c r="I60" s="183"/>
    </row>
    <row r="61" spans="1:14">
      <c r="B61" s="157">
        <v>8</v>
      </c>
      <c r="C61" s="162" cm="1">
        <f t="array" ref="C61">_xlfn.IFS($C$51-B61&gt;=0,1,$C$51-B61&gt;-1,$C$51-B61+1,$C$51-B61&lt;=-1,0)</f>
        <v>0</v>
      </c>
      <c r="D61" s="157"/>
      <c r="E61" s="159" t="e">
        <f>C61*$E$54*(1+'Background data'!$D$22)^B60</f>
        <v>#DIV/0!</v>
      </c>
      <c r="F61" s="164" t="e">
        <f t="shared" si="1"/>
        <v>#DIV/0!</v>
      </c>
      <c r="G61" s="164" t="e">
        <f t="shared" si="2"/>
        <v>#DIV/0!</v>
      </c>
      <c r="H61" s="183"/>
      <c r="I61" s="183"/>
    </row>
    <row r="62" spans="1:14">
      <c r="B62" s="157">
        <v>9</v>
      </c>
      <c r="C62" s="162" cm="1">
        <f t="array" ref="C62">_xlfn.IFS($C$51-B62&gt;=0,1,$C$51-B62&gt;-1,$C$51-B62+1,$C$51-B62&lt;=-1,0)</f>
        <v>0</v>
      </c>
      <c r="D62" s="157"/>
      <c r="E62" s="159" t="e">
        <f>C62*$E$54*(1+'Background data'!$D$22)^B61</f>
        <v>#DIV/0!</v>
      </c>
      <c r="F62" s="164" t="e">
        <f t="shared" si="1"/>
        <v>#DIV/0!</v>
      </c>
      <c r="G62" s="164" t="e">
        <f t="shared" si="2"/>
        <v>#DIV/0!</v>
      </c>
      <c r="H62" s="183"/>
      <c r="I62" s="183"/>
    </row>
    <row r="63" spans="1:14">
      <c r="B63" s="157">
        <v>10</v>
      </c>
      <c r="C63" s="162" cm="1">
        <f t="array" ref="C63">_xlfn.IFS($C$51-B63&gt;=0,1,$C$51-B63&gt;-1,$C$51-B63+1,$C$51-B63&lt;=-1,0)</f>
        <v>0</v>
      </c>
      <c r="D63" s="157"/>
      <c r="E63" s="159" t="e">
        <f>C63*$E$54*(1+'Background data'!$D$22)^B62</f>
        <v>#DIV/0!</v>
      </c>
      <c r="F63" s="164" t="e">
        <f t="shared" si="1"/>
        <v>#DIV/0!</v>
      </c>
      <c r="G63" s="164" t="e">
        <f t="shared" si="2"/>
        <v>#DIV/0!</v>
      </c>
      <c r="H63" s="183"/>
      <c r="I63" s="183"/>
    </row>
    <row r="64" spans="1:14">
      <c r="B64" s="157">
        <v>11</v>
      </c>
      <c r="C64" s="162" cm="1">
        <f t="array" ref="C64">_xlfn.IFS($C$51-B64&gt;=0,1,$C$51-B64&gt;-1,$C$51-B64+1,$C$51-B64&lt;=-1,0)</f>
        <v>0</v>
      </c>
      <c r="D64" s="157"/>
      <c r="E64" s="159" t="e">
        <f>C64*$E$54*(1+'Background data'!$D$22)^B63</f>
        <v>#DIV/0!</v>
      </c>
      <c r="F64" s="164" t="e">
        <f t="shared" si="1"/>
        <v>#DIV/0!</v>
      </c>
      <c r="G64" s="164" t="e">
        <f t="shared" si="2"/>
        <v>#DIV/0!</v>
      </c>
      <c r="H64" s="183"/>
      <c r="I64" s="183"/>
    </row>
    <row r="65" spans="2:9">
      <c r="B65" s="157">
        <v>12</v>
      </c>
      <c r="C65" s="162" cm="1">
        <f t="array" ref="C65">_xlfn.IFS($C$51-B65&gt;=0,1,$C$51-B65&gt;-1,$C$51-B65+1,$C$51-B65&lt;=-1,0)</f>
        <v>0</v>
      </c>
      <c r="D65" s="157"/>
      <c r="E65" s="159" t="e">
        <f>C65*$E$54*(1+'Background data'!$D$22)^B64</f>
        <v>#DIV/0!</v>
      </c>
      <c r="F65" s="164" t="e">
        <f t="shared" si="1"/>
        <v>#DIV/0!</v>
      </c>
      <c r="G65" s="164" t="e">
        <f t="shared" si="2"/>
        <v>#DIV/0!</v>
      </c>
      <c r="H65" s="183"/>
      <c r="I65" s="183"/>
    </row>
    <row r="66" spans="2:9">
      <c r="B66" s="157">
        <v>13</v>
      </c>
      <c r="C66" s="162" cm="1">
        <f t="array" ref="C66">_xlfn.IFS($C$51-B66&gt;=0,1,$C$51-B66&gt;-1,$C$51-B66+1,$C$51-B66&lt;=-1,0)</f>
        <v>0</v>
      </c>
      <c r="D66" s="157"/>
      <c r="E66" s="159" t="e">
        <f>C66*$E$54*(1+'Background data'!$D$22)^B65</f>
        <v>#DIV/0!</v>
      </c>
      <c r="F66" s="164" t="e">
        <f t="shared" si="1"/>
        <v>#DIV/0!</v>
      </c>
      <c r="G66" s="164" t="e">
        <f t="shared" si="2"/>
        <v>#DIV/0!</v>
      </c>
      <c r="H66" s="183"/>
      <c r="I66" s="183"/>
    </row>
    <row r="67" spans="2:9">
      <c r="B67" s="157">
        <v>14</v>
      </c>
      <c r="C67" s="162" cm="1">
        <f t="array" ref="C67">_xlfn.IFS($C$51-B67&gt;=0,1,$C$51-B67&gt;-1,$C$51-B67+1,$C$51-B67&lt;=-1,0)</f>
        <v>0</v>
      </c>
      <c r="D67" s="157"/>
      <c r="E67" s="159" t="e">
        <f>C67*$E$54*(1+'Background data'!$D$22)^B66</f>
        <v>#DIV/0!</v>
      </c>
      <c r="F67" s="164" t="e">
        <f t="shared" si="1"/>
        <v>#DIV/0!</v>
      </c>
      <c r="G67" s="164" t="e">
        <f t="shared" si="2"/>
        <v>#DIV/0!</v>
      </c>
      <c r="H67" s="183"/>
      <c r="I67" s="183"/>
    </row>
    <row r="68" spans="2:9">
      <c r="B68" s="157">
        <v>15</v>
      </c>
      <c r="C68" s="162" cm="1">
        <f t="array" ref="C68">_xlfn.IFS($C$51-B68&gt;=0,1,$C$51-B68&gt;-1,$C$51-B68+1,$C$51-B68&lt;=-1,0)</f>
        <v>0</v>
      </c>
      <c r="D68" s="157"/>
      <c r="E68" s="159" t="e">
        <f>C68*$E$54*(1+'Background data'!$D$22)^B67</f>
        <v>#DIV/0!</v>
      </c>
      <c r="F68" s="164" t="e">
        <f t="shared" si="1"/>
        <v>#DIV/0!</v>
      </c>
      <c r="G68" s="164" t="e">
        <f t="shared" si="2"/>
        <v>#DIV/0!</v>
      </c>
      <c r="H68" s="183"/>
      <c r="I68" s="183"/>
    </row>
    <row r="69" spans="2:9">
      <c r="B69" s="157">
        <v>16</v>
      </c>
      <c r="C69" s="162" cm="1">
        <f t="array" ref="C69">_xlfn.IFS($C$51-B69&gt;=0,1,$C$51-B69&gt;-1,$C$51-B69+1,$C$51-B69&lt;=-1,0)</f>
        <v>0</v>
      </c>
      <c r="D69" s="157"/>
      <c r="E69" s="159" t="e">
        <f>C69*$E$54*(1+'Background data'!$D$22)^B68</f>
        <v>#DIV/0!</v>
      </c>
      <c r="F69" s="164" t="e">
        <f t="shared" si="1"/>
        <v>#DIV/0!</v>
      </c>
      <c r="G69" s="164" t="e">
        <f t="shared" si="2"/>
        <v>#DIV/0!</v>
      </c>
      <c r="H69" s="183"/>
      <c r="I69" s="183"/>
    </row>
    <row r="70" spans="2:9">
      <c r="B70" s="157">
        <v>17</v>
      </c>
      <c r="C70" s="162" cm="1">
        <f t="array" ref="C70">_xlfn.IFS($C$51-B70&gt;=0,1,$C$51-B70&gt;-1,$C$51-B70+1,$C$51-B70&lt;=-1,0)</f>
        <v>0</v>
      </c>
      <c r="D70" s="157"/>
      <c r="E70" s="159" t="e">
        <f>C70*$E$54*(1+'Background data'!$D$22)^B69</f>
        <v>#DIV/0!</v>
      </c>
      <c r="F70" s="164" t="e">
        <f t="shared" si="1"/>
        <v>#DIV/0!</v>
      </c>
      <c r="G70" s="164" t="e">
        <f t="shared" si="2"/>
        <v>#DIV/0!</v>
      </c>
      <c r="H70" s="183"/>
      <c r="I70" s="183"/>
    </row>
    <row r="71" spans="2:9">
      <c r="B71" s="157">
        <v>18</v>
      </c>
      <c r="C71" s="162" cm="1">
        <f t="array" ref="C71">_xlfn.IFS($C$51-B71&gt;=0,1,$C$51-B71&gt;-1,$C$51-B71+1,$C$51-B71&lt;=-1,0)</f>
        <v>0</v>
      </c>
      <c r="D71" s="157"/>
      <c r="E71" s="159" t="e">
        <f>C71*$E$54*(1+'Background data'!$D$22)^B70</f>
        <v>#DIV/0!</v>
      </c>
      <c r="F71" s="164" t="e">
        <f t="shared" si="1"/>
        <v>#DIV/0!</v>
      </c>
      <c r="G71" s="164" t="e">
        <f t="shared" si="2"/>
        <v>#DIV/0!</v>
      </c>
      <c r="H71" s="183"/>
      <c r="I71" s="183"/>
    </row>
    <row r="72" spans="2:9">
      <c r="B72" s="157">
        <v>19</v>
      </c>
      <c r="C72" s="162" cm="1">
        <f t="array" ref="C72">_xlfn.IFS($C$51-B72&gt;=0,1,$C$51-B72&gt;-1,$C$51-B72+1,$C$51-B72&lt;=-1,0)</f>
        <v>0</v>
      </c>
      <c r="D72" s="157"/>
      <c r="E72" s="159" t="e">
        <f>C72*$E$54*(1+'Background data'!$D$22)^B71</f>
        <v>#DIV/0!</v>
      </c>
      <c r="F72" s="164" t="e">
        <f t="shared" si="1"/>
        <v>#DIV/0!</v>
      </c>
      <c r="G72" s="164" t="e">
        <f t="shared" si="2"/>
        <v>#DIV/0!</v>
      </c>
      <c r="H72" s="183"/>
      <c r="I72" s="183"/>
    </row>
    <row r="73" spans="2:9">
      <c r="B73" s="157">
        <v>20</v>
      </c>
      <c r="C73" s="162" cm="1">
        <f t="array" ref="C73">_xlfn.IFS($C$51-B73&gt;=0,1,$C$51-B73&gt;-1,$C$51-B73+1,$C$51-B73&lt;=-1,0)</f>
        <v>0</v>
      </c>
      <c r="D73" s="157"/>
      <c r="E73" s="159" t="e">
        <f>C73*$E$54*(1+'Background data'!$D$22)^B72</f>
        <v>#DIV/0!</v>
      </c>
      <c r="F73" s="164" t="e">
        <f t="shared" si="1"/>
        <v>#DIV/0!</v>
      </c>
      <c r="G73" s="164" t="e">
        <f t="shared" si="2"/>
        <v>#DIV/0!</v>
      </c>
      <c r="H73" s="183"/>
      <c r="I73" s="183"/>
    </row>
    <row r="74" spans="2:9">
      <c r="I74" s="183"/>
    </row>
    <row r="75" spans="2:9">
      <c r="B75" s="182" t="s">
        <v>170</v>
      </c>
      <c r="C75" s="161" t="e">
        <f>IRR(F54:F73)</f>
        <v>#VALUE!</v>
      </c>
    </row>
  </sheetData>
  <mergeCells count="1">
    <mergeCell ref="B7:I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D2E3-107D-4AEC-BDF5-EC47A5335A0B}">
  <sheetPr codeName="Sheet3">
    <tabColor theme="8" tint="0.79998168889431442"/>
  </sheetPr>
  <dimension ref="B1:G69"/>
  <sheetViews>
    <sheetView workbookViewId="0">
      <selection activeCell="C20" sqref="C20"/>
    </sheetView>
  </sheetViews>
  <sheetFormatPr defaultRowHeight="14.45"/>
  <cols>
    <col min="2" max="2" width="37.140625" bestFit="1" customWidth="1"/>
    <col min="3" max="3" width="40.85546875" bestFit="1" customWidth="1"/>
    <col min="4" max="4" width="9.28515625" bestFit="1" customWidth="1"/>
  </cols>
  <sheetData>
    <row r="1" spans="2:7">
      <c r="B1" t="s">
        <v>171</v>
      </c>
      <c r="C1" t="s">
        <v>124</v>
      </c>
      <c r="D1">
        <v>1</v>
      </c>
      <c r="E1">
        <v>2</v>
      </c>
      <c r="F1">
        <v>3</v>
      </c>
      <c r="G1">
        <v>4</v>
      </c>
    </row>
    <row r="2" spans="2:7">
      <c r="B2" s="2" t="s">
        <v>172</v>
      </c>
      <c r="C2" t="s">
        <v>173</v>
      </c>
      <c r="D2" s="98" t="e">
        <f>#REF!</f>
        <v>#REF!</v>
      </c>
      <c r="E2" s="98" t="e">
        <f>#REF!</f>
        <v>#REF!</v>
      </c>
      <c r="F2" s="98" t="e">
        <f>#REF!</f>
        <v>#REF!</v>
      </c>
      <c r="G2" s="98" t="e">
        <f>#REF!</f>
        <v>#REF!</v>
      </c>
    </row>
    <row r="3" spans="2:7">
      <c r="B3" s="2" t="s">
        <v>172</v>
      </c>
      <c r="C3" t="s">
        <v>173</v>
      </c>
      <c r="D3" s="98" t="e">
        <f>#REF!</f>
        <v>#REF!</v>
      </c>
      <c r="E3" s="98" t="e">
        <f>#REF!</f>
        <v>#REF!</v>
      </c>
      <c r="F3" s="98" t="e">
        <f>#REF!</f>
        <v>#REF!</v>
      </c>
      <c r="G3" s="98" t="e">
        <f>#REF!</f>
        <v>#REF!</v>
      </c>
    </row>
    <row r="4" spans="2:7">
      <c r="B4" s="2" t="s">
        <v>172</v>
      </c>
      <c r="C4" t="s">
        <v>174</v>
      </c>
      <c r="D4" s="98" t="e">
        <f>#REF!</f>
        <v>#REF!</v>
      </c>
      <c r="E4" s="98" t="e">
        <f>#REF!</f>
        <v>#REF!</v>
      </c>
      <c r="F4" s="98" t="e">
        <f>#REF!</f>
        <v>#REF!</v>
      </c>
      <c r="G4" s="98" t="e">
        <f>#REF!</f>
        <v>#REF!</v>
      </c>
    </row>
    <row r="5" spans="2:7">
      <c r="B5" s="2" t="s">
        <v>172</v>
      </c>
      <c r="C5" t="s">
        <v>175</v>
      </c>
      <c r="D5" s="98" t="e">
        <f>#REF!</f>
        <v>#REF!</v>
      </c>
      <c r="E5" s="98" t="e">
        <f>#REF!</f>
        <v>#REF!</v>
      </c>
      <c r="F5" s="98" t="e">
        <f>#REF!</f>
        <v>#REF!</v>
      </c>
      <c r="G5" s="98" t="e">
        <f>#REF!</f>
        <v>#REF!</v>
      </c>
    </row>
    <row r="6" spans="2:7">
      <c r="B6" s="2" t="s">
        <v>172</v>
      </c>
      <c r="C6" t="s">
        <v>176</v>
      </c>
      <c r="D6" s="98" t="e">
        <f>#REF!</f>
        <v>#REF!</v>
      </c>
      <c r="E6" s="98" t="e">
        <f>#REF!</f>
        <v>#REF!</v>
      </c>
      <c r="F6" s="98" t="e">
        <f>#REF!</f>
        <v>#REF!</v>
      </c>
      <c r="G6" s="98" t="e">
        <f>#REF!</f>
        <v>#REF!</v>
      </c>
    </row>
    <row r="7" spans="2:7">
      <c r="B7" s="2" t="s">
        <v>172</v>
      </c>
      <c r="C7" t="s">
        <v>177</v>
      </c>
      <c r="D7" s="98" t="e">
        <f>#REF!</f>
        <v>#REF!</v>
      </c>
      <c r="E7" s="98" t="e">
        <f>#REF!</f>
        <v>#REF!</v>
      </c>
      <c r="F7" s="98" t="e">
        <f>#REF!</f>
        <v>#REF!</v>
      </c>
      <c r="G7" s="98" t="e">
        <f>#REF!</f>
        <v>#REF!</v>
      </c>
    </row>
    <row r="8" spans="2:7">
      <c r="B8" s="2" t="s">
        <v>172</v>
      </c>
      <c r="C8" t="s">
        <v>178</v>
      </c>
      <c r="D8" s="98" t="e">
        <f>#REF!</f>
        <v>#REF!</v>
      </c>
      <c r="E8" s="98" t="e">
        <f>#REF!</f>
        <v>#REF!</v>
      </c>
      <c r="F8" s="98" t="e">
        <f>#REF!</f>
        <v>#REF!</v>
      </c>
      <c r="G8" s="98" t="e">
        <f>#REF!</f>
        <v>#REF!</v>
      </c>
    </row>
    <row r="9" spans="2:7">
      <c r="B9" s="2" t="s">
        <v>172</v>
      </c>
      <c r="C9" t="s">
        <v>179</v>
      </c>
      <c r="D9" s="98" t="e">
        <f>#REF!</f>
        <v>#REF!</v>
      </c>
      <c r="E9" s="98" t="e">
        <f>#REF!</f>
        <v>#REF!</v>
      </c>
      <c r="F9" s="98" t="e">
        <f>#REF!</f>
        <v>#REF!</v>
      </c>
      <c r="G9" s="98" t="e">
        <f>#REF!</f>
        <v>#REF!</v>
      </c>
    </row>
    <row r="10" spans="2:7">
      <c r="B10" s="2" t="s">
        <v>180</v>
      </c>
      <c r="C10" t="s">
        <v>173</v>
      </c>
      <c r="D10" s="98" t="e" cm="1">
        <f t="array" ref="D10">#REF!</f>
        <v>#REF!</v>
      </c>
    </row>
    <row r="11" spans="2:7">
      <c r="B11" s="2" t="s">
        <v>180</v>
      </c>
      <c r="C11" t="s">
        <v>173</v>
      </c>
    </row>
    <row r="12" spans="2:7">
      <c r="B12" s="2" t="s">
        <v>180</v>
      </c>
      <c r="C12" t="s">
        <v>174</v>
      </c>
    </row>
    <row r="13" spans="2:7">
      <c r="B13" s="2" t="s">
        <v>180</v>
      </c>
      <c r="C13" t="s">
        <v>175</v>
      </c>
    </row>
    <row r="14" spans="2:7">
      <c r="B14" s="2" t="s">
        <v>180</v>
      </c>
      <c r="C14" t="s">
        <v>176</v>
      </c>
    </row>
    <row r="15" spans="2:7">
      <c r="B15" s="2" t="s">
        <v>180</v>
      </c>
      <c r="C15" t="s">
        <v>177</v>
      </c>
    </row>
    <row r="16" spans="2:7">
      <c r="B16" s="2" t="s">
        <v>180</v>
      </c>
      <c r="C16" t="s">
        <v>178</v>
      </c>
    </row>
    <row r="17" spans="2:4">
      <c r="B17" s="2" t="s">
        <v>180</v>
      </c>
      <c r="C17" t="s">
        <v>179</v>
      </c>
    </row>
    <row r="18" spans="2:4">
      <c r="B18" s="2" t="s">
        <v>181</v>
      </c>
      <c r="C18" t="s">
        <v>173</v>
      </c>
      <c r="D18" s="98" t="e" cm="1">
        <f t="array" ref="D18">#REF!</f>
        <v>#REF!</v>
      </c>
    </row>
    <row r="19" spans="2:4">
      <c r="B19" s="2" t="s">
        <v>181</v>
      </c>
      <c r="C19" t="s">
        <v>173</v>
      </c>
    </row>
    <row r="20" spans="2:4">
      <c r="B20" s="2" t="s">
        <v>181</v>
      </c>
      <c r="C20" t="s">
        <v>174</v>
      </c>
    </row>
    <row r="21" spans="2:4">
      <c r="B21" s="2" t="s">
        <v>181</v>
      </c>
      <c r="C21" t="s">
        <v>175</v>
      </c>
    </row>
    <row r="22" spans="2:4">
      <c r="B22" s="2" t="s">
        <v>181</v>
      </c>
      <c r="C22" t="s">
        <v>176</v>
      </c>
    </row>
    <row r="23" spans="2:4">
      <c r="B23" s="2" t="s">
        <v>181</v>
      </c>
      <c r="C23" t="s">
        <v>177</v>
      </c>
    </row>
    <row r="24" spans="2:4">
      <c r="B24" s="2" t="s">
        <v>181</v>
      </c>
      <c r="C24" t="s">
        <v>178</v>
      </c>
    </row>
    <row r="25" spans="2:4">
      <c r="B25" s="2" t="s">
        <v>181</v>
      </c>
      <c r="C25" t="s">
        <v>179</v>
      </c>
    </row>
    <row r="26" spans="2:4">
      <c r="B26" s="2" t="s">
        <v>182</v>
      </c>
      <c r="C26" t="s">
        <v>173</v>
      </c>
      <c r="D26" s="98" t="e" cm="1">
        <f t="array" ref="D26">#REF!</f>
        <v>#REF!</v>
      </c>
    </row>
    <row r="27" spans="2:4">
      <c r="B27" s="2" t="s">
        <v>182</v>
      </c>
      <c r="C27" t="s">
        <v>173</v>
      </c>
    </row>
    <row r="28" spans="2:4">
      <c r="B28" s="2" t="s">
        <v>182</v>
      </c>
      <c r="C28" t="s">
        <v>174</v>
      </c>
    </row>
    <row r="29" spans="2:4">
      <c r="B29" s="2" t="s">
        <v>182</v>
      </c>
      <c r="C29" t="s">
        <v>175</v>
      </c>
    </row>
    <row r="30" spans="2:4">
      <c r="B30" s="2" t="s">
        <v>182</v>
      </c>
      <c r="C30" t="s">
        <v>176</v>
      </c>
    </row>
    <row r="31" spans="2:4">
      <c r="B31" s="2" t="s">
        <v>182</v>
      </c>
      <c r="C31" t="s">
        <v>177</v>
      </c>
    </row>
    <row r="32" spans="2:4">
      <c r="B32" s="2" t="s">
        <v>182</v>
      </c>
      <c r="C32" t="s">
        <v>178</v>
      </c>
    </row>
    <row r="33" spans="2:4">
      <c r="B33" s="2" t="s">
        <v>182</v>
      </c>
      <c r="C33" t="s">
        <v>179</v>
      </c>
    </row>
    <row r="34" spans="2:4">
      <c r="B34" s="2" t="s">
        <v>183</v>
      </c>
      <c r="C34" t="s">
        <v>173</v>
      </c>
      <c r="D34" s="98" t="e" cm="1">
        <f t="array" ref="D34">#REF!</f>
        <v>#REF!</v>
      </c>
    </row>
    <row r="35" spans="2:4">
      <c r="B35" s="2" t="s">
        <v>183</v>
      </c>
      <c r="C35" t="s">
        <v>173</v>
      </c>
    </row>
    <row r="36" spans="2:4">
      <c r="B36" s="2" t="s">
        <v>183</v>
      </c>
      <c r="C36" t="s">
        <v>174</v>
      </c>
    </row>
    <row r="37" spans="2:4">
      <c r="B37" s="2" t="s">
        <v>183</v>
      </c>
      <c r="C37" t="s">
        <v>175</v>
      </c>
    </row>
    <row r="38" spans="2:4">
      <c r="B38" s="2" t="s">
        <v>183</v>
      </c>
      <c r="C38" t="s">
        <v>184</v>
      </c>
    </row>
    <row r="39" spans="2:4">
      <c r="B39" s="2" t="s">
        <v>183</v>
      </c>
      <c r="C39" t="s">
        <v>176</v>
      </c>
    </row>
    <row r="40" spans="2:4">
      <c r="B40" s="2" t="s">
        <v>183</v>
      </c>
      <c r="C40" t="s">
        <v>177</v>
      </c>
    </row>
    <row r="41" spans="2:4">
      <c r="B41" s="2" t="s">
        <v>183</v>
      </c>
      <c r="C41" t="s">
        <v>178</v>
      </c>
    </row>
    <row r="42" spans="2:4">
      <c r="B42" s="2" t="s">
        <v>183</v>
      </c>
      <c r="C42" t="s">
        <v>179</v>
      </c>
    </row>
    <row r="43" spans="2:4">
      <c r="B43" s="2" t="s">
        <v>185</v>
      </c>
      <c r="C43" t="s">
        <v>173</v>
      </c>
      <c r="D43" s="98" t="e" cm="1">
        <f t="array" ref="D43">#REF!</f>
        <v>#REF!</v>
      </c>
    </row>
    <row r="44" spans="2:4">
      <c r="B44" s="2" t="s">
        <v>185</v>
      </c>
      <c r="C44" t="s">
        <v>173</v>
      </c>
    </row>
    <row r="45" spans="2:4">
      <c r="B45" s="2" t="s">
        <v>185</v>
      </c>
      <c r="C45" t="s">
        <v>174</v>
      </c>
    </row>
    <row r="46" spans="2:4">
      <c r="B46" s="2" t="s">
        <v>185</v>
      </c>
      <c r="C46" t="s">
        <v>175</v>
      </c>
    </row>
    <row r="47" spans="2:4">
      <c r="B47" s="2" t="s">
        <v>185</v>
      </c>
      <c r="C47" t="s">
        <v>184</v>
      </c>
    </row>
    <row r="48" spans="2:4">
      <c r="B48" s="2" t="s">
        <v>185</v>
      </c>
      <c r="C48" t="s">
        <v>176</v>
      </c>
    </row>
    <row r="49" spans="2:4">
      <c r="B49" s="2" t="s">
        <v>185</v>
      </c>
      <c r="C49" t="s">
        <v>177</v>
      </c>
    </row>
    <row r="50" spans="2:4">
      <c r="B50" s="2" t="s">
        <v>185</v>
      </c>
      <c r="C50" t="s">
        <v>178</v>
      </c>
    </row>
    <row r="51" spans="2:4">
      <c r="B51" s="2" t="s">
        <v>185</v>
      </c>
      <c r="C51" t="s">
        <v>179</v>
      </c>
    </row>
    <row r="52" spans="2:4">
      <c r="B52" s="2" t="s">
        <v>186</v>
      </c>
      <c r="C52" t="s">
        <v>173</v>
      </c>
      <c r="D52" s="98" t="e" cm="1">
        <f t="array" ref="D52">#REF!</f>
        <v>#REF!</v>
      </c>
    </row>
    <row r="53" spans="2:4">
      <c r="B53" s="2" t="s">
        <v>186</v>
      </c>
      <c r="C53" t="s">
        <v>173</v>
      </c>
    </row>
    <row r="54" spans="2:4">
      <c r="B54" s="2" t="s">
        <v>186</v>
      </c>
      <c r="C54" t="s">
        <v>174</v>
      </c>
    </row>
    <row r="55" spans="2:4">
      <c r="B55" s="2" t="s">
        <v>186</v>
      </c>
      <c r="C55" t="s">
        <v>175</v>
      </c>
    </row>
    <row r="56" spans="2:4">
      <c r="B56" s="2" t="s">
        <v>186</v>
      </c>
      <c r="C56" t="s">
        <v>187</v>
      </c>
    </row>
    <row r="57" spans="2:4">
      <c r="B57" s="2" t="s">
        <v>186</v>
      </c>
      <c r="C57" t="s">
        <v>176</v>
      </c>
    </row>
    <row r="58" spans="2:4">
      <c r="B58" s="2" t="s">
        <v>186</v>
      </c>
      <c r="C58" t="s">
        <v>177</v>
      </c>
    </row>
    <row r="59" spans="2:4">
      <c r="B59" s="2" t="s">
        <v>186</v>
      </c>
      <c r="C59" t="s">
        <v>178</v>
      </c>
    </row>
    <row r="60" spans="2:4">
      <c r="B60" s="2" t="s">
        <v>186</v>
      </c>
      <c r="C60" t="s">
        <v>179</v>
      </c>
    </row>
    <row r="61" spans="2:4">
      <c r="B61" s="2" t="s">
        <v>188</v>
      </c>
      <c r="C61" t="s">
        <v>173</v>
      </c>
      <c r="D61" s="98" t="e" cm="1">
        <f t="array" ref="D61">#REF!</f>
        <v>#REF!</v>
      </c>
    </row>
    <row r="62" spans="2:4">
      <c r="B62" s="2" t="s">
        <v>188</v>
      </c>
      <c r="C62" t="s">
        <v>173</v>
      </c>
    </row>
    <row r="63" spans="2:4">
      <c r="B63" s="2" t="s">
        <v>188</v>
      </c>
      <c r="C63" t="s">
        <v>174</v>
      </c>
    </row>
    <row r="64" spans="2:4">
      <c r="B64" s="2" t="s">
        <v>188</v>
      </c>
      <c r="C64" t="s">
        <v>175</v>
      </c>
    </row>
    <row r="65" spans="2:3">
      <c r="B65" s="2" t="s">
        <v>188</v>
      </c>
      <c r="C65" t="s">
        <v>187</v>
      </c>
    </row>
    <row r="66" spans="2:3">
      <c r="B66" s="2" t="s">
        <v>188</v>
      </c>
      <c r="C66" t="s">
        <v>176</v>
      </c>
    </row>
    <row r="67" spans="2:3">
      <c r="B67" s="2" t="s">
        <v>188</v>
      </c>
      <c r="C67" t="s">
        <v>177</v>
      </c>
    </row>
    <row r="68" spans="2:3">
      <c r="B68" s="2" t="s">
        <v>188</v>
      </c>
      <c r="C68" t="s">
        <v>178</v>
      </c>
    </row>
    <row r="69" spans="2:3">
      <c r="B69" s="2" t="s">
        <v>188</v>
      </c>
      <c r="C69" t="s">
        <v>179</v>
      </c>
    </row>
  </sheetData>
  <autoFilter ref="B1:G69" xr:uid="{88A38D4F-524B-4C72-ACD2-D73A86FA4A26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13FF1-79C0-47C9-98EC-54D4F9489DD5}">
  <sheetPr codeName="Sheet4">
    <tabColor theme="8" tint="0.79998168889431442"/>
  </sheetPr>
  <dimension ref="A1:F9"/>
  <sheetViews>
    <sheetView workbookViewId="0">
      <selection activeCell="B12" sqref="B12"/>
    </sheetView>
  </sheetViews>
  <sheetFormatPr defaultRowHeight="14.45"/>
  <cols>
    <col min="2" max="2" width="38.5703125" bestFit="1" customWidth="1"/>
    <col min="3" max="4" width="10.42578125" bestFit="1" customWidth="1"/>
    <col min="5" max="6" width="12.42578125" bestFit="1" customWidth="1"/>
  </cols>
  <sheetData>
    <row r="1" spans="1:6">
      <c r="A1" t="s">
        <v>189</v>
      </c>
      <c r="B1" t="s">
        <v>190</v>
      </c>
      <c r="C1" s="97">
        <v>44562</v>
      </c>
      <c r="D1" s="97">
        <v>44927</v>
      </c>
      <c r="E1" s="97">
        <v>45292</v>
      </c>
      <c r="F1" s="97">
        <v>45658</v>
      </c>
    </row>
    <row r="2" spans="1:6">
      <c r="A2" s="96">
        <v>0</v>
      </c>
      <c r="B2" t="e">
        <f>#REF!</f>
        <v>#REF!</v>
      </c>
      <c r="C2" t="e">
        <f>#REF!</f>
        <v>#REF!</v>
      </c>
      <c r="D2" t="e">
        <f>#REF!</f>
        <v>#REF!</v>
      </c>
      <c r="E2" t="e">
        <f>#REF!</f>
        <v>#REF!</v>
      </c>
      <c r="F2" t="e">
        <f>#REF!</f>
        <v>#REF!</v>
      </c>
    </row>
    <row r="3" spans="1:6">
      <c r="A3" s="96" t="s">
        <v>191</v>
      </c>
      <c r="B3" t="e">
        <f>#REF!</f>
        <v>#REF!</v>
      </c>
      <c r="C3" t="e">
        <f>#REF!</f>
        <v>#REF!</v>
      </c>
      <c r="D3" t="e">
        <f>#REF!</f>
        <v>#REF!</v>
      </c>
      <c r="E3" t="e">
        <f>#REF!</f>
        <v>#REF!</v>
      </c>
      <c r="F3" t="e">
        <f>#REF!</f>
        <v>#REF!</v>
      </c>
    </row>
    <row r="4" spans="1:6">
      <c r="A4" s="96" t="s">
        <v>192</v>
      </c>
      <c r="B4" t="e">
        <f>#REF!</f>
        <v>#REF!</v>
      </c>
      <c r="C4" t="e">
        <f>#REF!</f>
        <v>#REF!</v>
      </c>
      <c r="D4" t="e">
        <f>#REF!</f>
        <v>#REF!</v>
      </c>
      <c r="E4" t="e">
        <f>#REF!</f>
        <v>#REF!</v>
      </c>
      <c r="F4" t="e">
        <f>#REF!</f>
        <v>#REF!</v>
      </c>
    </row>
    <row r="5" spans="1:6">
      <c r="A5" s="96" t="s">
        <v>193</v>
      </c>
      <c r="B5" t="e">
        <f>#REF!</f>
        <v>#REF!</v>
      </c>
      <c r="C5" t="e">
        <f>#REF!</f>
        <v>#REF!</v>
      </c>
      <c r="D5" t="e">
        <f>#REF!</f>
        <v>#REF!</v>
      </c>
      <c r="E5" t="e">
        <f>#REF!</f>
        <v>#REF!</v>
      </c>
      <c r="F5" t="e">
        <f>#REF!</f>
        <v>#REF!</v>
      </c>
    </row>
    <row r="6" spans="1:6">
      <c r="A6" s="96" t="s">
        <v>194</v>
      </c>
      <c r="B6" t="e">
        <f>#REF!</f>
        <v>#REF!</v>
      </c>
      <c r="C6" t="e">
        <f>#REF!</f>
        <v>#REF!</v>
      </c>
      <c r="D6" t="e">
        <f>#REF!</f>
        <v>#REF!</v>
      </c>
      <c r="E6" t="e">
        <f>#REF!</f>
        <v>#REF!</v>
      </c>
      <c r="F6" t="e">
        <f>#REF!</f>
        <v>#REF!</v>
      </c>
    </row>
    <row r="7" spans="1:6">
      <c r="A7" s="96" t="s">
        <v>195</v>
      </c>
      <c r="B7" t="e">
        <f>#REF!</f>
        <v>#REF!</v>
      </c>
      <c r="C7" t="e">
        <f>#REF!</f>
        <v>#REF!</v>
      </c>
      <c r="D7" t="e">
        <f>#REF!</f>
        <v>#REF!</v>
      </c>
      <c r="E7" t="e">
        <f>#REF!</f>
        <v>#REF!</v>
      </c>
      <c r="F7" t="e">
        <f>#REF!</f>
        <v>#REF!</v>
      </c>
    </row>
    <row r="8" spans="1:6">
      <c r="A8" s="96" t="s">
        <v>196</v>
      </c>
      <c r="B8" t="e">
        <f>#REF!</f>
        <v>#REF!</v>
      </c>
      <c r="C8" t="e">
        <f>#REF!</f>
        <v>#REF!</v>
      </c>
      <c r="D8" t="e">
        <f>#REF!</f>
        <v>#REF!</v>
      </c>
      <c r="E8" t="e">
        <f>#REF!</f>
        <v>#REF!</v>
      </c>
      <c r="F8" t="e">
        <f>#REF!</f>
        <v>#REF!</v>
      </c>
    </row>
    <row r="9" spans="1:6">
      <c r="A9" s="96" t="s">
        <v>197</v>
      </c>
      <c r="B9" t="e">
        <f>#REF!</f>
        <v>#REF!</v>
      </c>
      <c r="C9" t="e">
        <f>#REF!</f>
        <v>#REF!</v>
      </c>
      <c r="D9" t="e">
        <f>#REF!</f>
        <v>#REF!</v>
      </c>
      <c r="E9" t="e">
        <f>#REF!</f>
        <v>#REF!</v>
      </c>
      <c r="F9" t="e">
        <f>#REF!</f>
        <v>#REF!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C820B-680A-4E58-A1F4-00B6382693F5}">
  <sheetPr codeName="Sheet5"/>
  <dimension ref="A1"/>
  <sheetViews>
    <sheetView topLeftCell="XFD1" workbookViewId="0">
      <selection activeCell="B30" sqref="B30"/>
    </sheetView>
  </sheetViews>
  <sheetFormatPr defaultColWidth="0" defaultRowHeight="14.45"/>
  <cols>
    <col min="1" max="16384" width="8.85546875" hidden="1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3d30e5-7387-44dd-8401-688fb1fde960">
      <Terms xmlns="http://schemas.microsoft.com/office/infopath/2007/PartnerControls"/>
    </lcf76f155ced4ddcb4097134ff3c332f>
    <TaxCatchAll xmlns="9fbecf4c-6b3d-4d58-8add-f5cf577a1cf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185E0C377275458C9AB767B8361CFA" ma:contentTypeVersion="17" ma:contentTypeDescription="Create a new document." ma:contentTypeScope="" ma:versionID="6d0d1f0d02e72b7cb3b6a845bb513243">
  <xsd:schema xmlns:xsd="http://www.w3.org/2001/XMLSchema" xmlns:xs="http://www.w3.org/2001/XMLSchema" xmlns:p="http://schemas.microsoft.com/office/2006/metadata/properties" xmlns:ns2="123d30e5-7387-44dd-8401-688fb1fde960" xmlns:ns3="9fbecf4c-6b3d-4d58-8add-f5cf577a1cf9" targetNamespace="http://schemas.microsoft.com/office/2006/metadata/properties" ma:root="true" ma:fieldsID="8dbb81b07506f8e629ad12ad999bc1ed" ns2:_="" ns3:_="">
    <xsd:import namespace="123d30e5-7387-44dd-8401-688fb1fde960"/>
    <xsd:import namespace="9fbecf4c-6b3d-4d58-8add-f5cf577a1c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3d30e5-7387-44dd-8401-688fb1fde9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fc20e29d-4d9b-411e-9260-307e9281c9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ecf4c-6b3d-4d58-8add-f5cf577a1cf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49b624f9-3370-40be-975e-56a6ef5bd873}" ma:internalName="TaxCatchAll" ma:showField="CatchAllData" ma:web="9fbecf4c-6b3d-4d58-8add-f5cf577a1c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6F6F8F-62AF-4106-8796-DFD0538750E1}"/>
</file>

<file path=customXml/itemProps2.xml><?xml version="1.0" encoding="utf-8"?>
<ds:datastoreItem xmlns:ds="http://schemas.openxmlformats.org/officeDocument/2006/customXml" ds:itemID="{5A2CD46D-E077-4FB9-AA74-B48DFEB253AF}"/>
</file>

<file path=customXml/itemProps3.xml><?xml version="1.0" encoding="utf-8"?>
<ds:datastoreItem xmlns:ds="http://schemas.openxmlformats.org/officeDocument/2006/customXml" ds:itemID="{2CDC1A6A-C887-4EC8-AE39-762795F8BA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Emma Pals</dc:creator>
  <cp:keywords/>
  <dc:description/>
  <cp:lastModifiedBy>Ewoud Beirlant</cp:lastModifiedBy>
  <cp:revision/>
  <dcterms:created xsi:type="dcterms:W3CDTF">2022-02-23T07:43:46Z</dcterms:created>
  <dcterms:modified xsi:type="dcterms:W3CDTF">2024-04-16T14:40:14Z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0x010100CF185E0C377275458C9AB767B8361CFA</vt:lpwstr>
  </property>
  <property fmtid="{D5CDD505-2E9C-101B-9397-08002B2CF9AE}" pid="3" name="MediaServiceImageTags">
    <vt:lpwstr/>
  </property>
</Properties>
</file>